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OneDrive\Desktop\EPG\KAISER\South Florida Logistics Center 95\South Florida Logistics Center 95\"/>
    </mc:Choice>
  </mc:AlternateContent>
  <bookViews>
    <workbookView xWindow="-120" yWindow="-120" windowWidth="29040" windowHeight="15840" tabRatio="601" activeTab="4"/>
  </bookViews>
  <sheets>
    <sheet name="NOTES" sheetId="2" r:id="rId1"/>
    <sheet name="ROOFING" sheetId="7" r:id="rId2"/>
    <sheet name="PAINTING" sheetId="5" r:id="rId3"/>
    <sheet name="CONCRETE" sheetId="10" r:id="rId4"/>
    <sheet name="TILT PANELS" sheetId="12" r:id="rId5"/>
    <sheet name="TILT DATA" sheetId="11" r:id="rId6"/>
    <sheet name="Sheet1" sheetId="3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2" l="1"/>
  <c r="H77" i="12" s="1"/>
  <c r="M77" i="12" s="1"/>
  <c r="E72" i="12"/>
  <c r="E68" i="12"/>
  <c r="E62" i="12"/>
  <c r="E58" i="12"/>
  <c r="E54" i="12"/>
  <c r="E49" i="12"/>
  <c r="E43" i="12"/>
  <c r="E37" i="12"/>
  <c r="E31" i="12"/>
  <c r="E26" i="12"/>
  <c r="E20" i="12"/>
  <c r="E16" i="12"/>
  <c r="H16" i="12" s="1"/>
  <c r="M16" i="12" s="1"/>
  <c r="N16" i="12" s="1"/>
  <c r="K80" i="12"/>
  <c r="H80" i="12"/>
  <c r="M80" i="12" s="1"/>
  <c r="N80" i="12" s="1"/>
  <c r="K65" i="12"/>
  <c r="H65" i="12"/>
  <c r="M65" i="12" s="1"/>
  <c r="K46" i="12"/>
  <c r="H46" i="12"/>
  <c r="M46" i="12" s="1"/>
  <c r="N46" i="12" s="1"/>
  <c r="K40" i="12"/>
  <c r="H40" i="12"/>
  <c r="M40" i="12" s="1"/>
  <c r="K34" i="12"/>
  <c r="H34" i="12"/>
  <c r="M34" i="12" s="1"/>
  <c r="N34" i="12" s="1"/>
  <c r="K23" i="12"/>
  <c r="H23" i="12"/>
  <c r="M23" i="12" s="1"/>
  <c r="H79" i="12"/>
  <c r="M79" i="12" s="1"/>
  <c r="K79" i="12"/>
  <c r="H81" i="12"/>
  <c r="M81" i="12" s="1"/>
  <c r="K81" i="12"/>
  <c r="H82" i="12"/>
  <c r="M82" i="12" s="1"/>
  <c r="K82" i="12"/>
  <c r="H83" i="12"/>
  <c r="M83" i="12" s="1"/>
  <c r="K83" i="12"/>
  <c r="K77" i="12"/>
  <c r="K76" i="12"/>
  <c r="H76" i="12"/>
  <c r="M76" i="12" s="1"/>
  <c r="K75" i="12"/>
  <c r="H75" i="12"/>
  <c r="M75" i="12" s="1"/>
  <c r="K74" i="12"/>
  <c r="H74" i="12"/>
  <c r="M74" i="12" s="1"/>
  <c r="K72" i="12"/>
  <c r="H72" i="12"/>
  <c r="M72" i="12" s="1"/>
  <c r="N72" i="12" s="1"/>
  <c r="K71" i="12"/>
  <c r="H71" i="12"/>
  <c r="M71" i="12" s="1"/>
  <c r="K70" i="12"/>
  <c r="H70" i="12"/>
  <c r="M70" i="12" s="1"/>
  <c r="K68" i="12"/>
  <c r="H68" i="12"/>
  <c r="M68" i="12" s="1"/>
  <c r="K67" i="12"/>
  <c r="H67" i="12"/>
  <c r="M67" i="12" s="1"/>
  <c r="K66" i="12"/>
  <c r="H66" i="12"/>
  <c r="M66" i="12" s="1"/>
  <c r="K64" i="12"/>
  <c r="H64" i="12"/>
  <c r="M64" i="12" s="1"/>
  <c r="K62" i="12"/>
  <c r="H62" i="12"/>
  <c r="M62" i="12" s="1"/>
  <c r="K61" i="12"/>
  <c r="H61" i="12"/>
  <c r="M61" i="12" s="1"/>
  <c r="N61" i="12" s="1"/>
  <c r="K60" i="12"/>
  <c r="H60" i="12"/>
  <c r="M60" i="12" s="1"/>
  <c r="K58" i="12"/>
  <c r="H58" i="12"/>
  <c r="M58" i="12" s="1"/>
  <c r="N58" i="12" s="1"/>
  <c r="K57" i="12"/>
  <c r="H57" i="12"/>
  <c r="M57" i="12" s="1"/>
  <c r="K56" i="12"/>
  <c r="H56" i="12"/>
  <c r="M56" i="12" s="1"/>
  <c r="K54" i="12"/>
  <c r="H54" i="12"/>
  <c r="M54" i="12" s="1"/>
  <c r="K53" i="12"/>
  <c r="H53" i="12"/>
  <c r="M53" i="12" s="1"/>
  <c r="K52" i="12"/>
  <c r="H52" i="12"/>
  <c r="M52" i="12" s="1"/>
  <c r="K51" i="12"/>
  <c r="H51" i="12"/>
  <c r="M51" i="12" s="1"/>
  <c r="K49" i="12"/>
  <c r="H49" i="12"/>
  <c r="M49" i="12" s="1"/>
  <c r="K48" i="12"/>
  <c r="H48" i="12"/>
  <c r="M48" i="12" s="1"/>
  <c r="K47" i="12"/>
  <c r="H47" i="12"/>
  <c r="M47" i="12" s="1"/>
  <c r="K45" i="12"/>
  <c r="H45" i="12"/>
  <c r="M45" i="12" s="1"/>
  <c r="K43" i="12"/>
  <c r="H43" i="12"/>
  <c r="M43" i="12" s="1"/>
  <c r="K42" i="12"/>
  <c r="H42" i="12"/>
  <c r="M42" i="12" s="1"/>
  <c r="K41" i="12"/>
  <c r="H41" i="12"/>
  <c r="M41" i="12" s="1"/>
  <c r="K39" i="12"/>
  <c r="H39" i="12"/>
  <c r="M39" i="12" s="1"/>
  <c r="K37" i="12"/>
  <c r="H37" i="12"/>
  <c r="M37" i="12" s="1"/>
  <c r="K36" i="12"/>
  <c r="H36" i="12"/>
  <c r="M36" i="12" s="1"/>
  <c r="K35" i="12"/>
  <c r="H35" i="12"/>
  <c r="M35" i="12" s="1"/>
  <c r="K33" i="12"/>
  <c r="H33" i="12"/>
  <c r="M33" i="12" s="1"/>
  <c r="K31" i="12"/>
  <c r="H31" i="12"/>
  <c r="M31" i="12" s="1"/>
  <c r="K30" i="12"/>
  <c r="H30" i="12"/>
  <c r="M30" i="12" s="1"/>
  <c r="K29" i="12"/>
  <c r="H29" i="12"/>
  <c r="M29" i="12" s="1"/>
  <c r="K28" i="12"/>
  <c r="H28" i="12"/>
  <c r="M28" i="12" s="1"/>
  <c r="K26" i="12"/>
  <c r="H26" i="12"/>
  <c r="M26" i="12" s="1"/>
  <c r="K25" i="12"/>
  <c r="H25" i="12"/>
  <c r="M25" i="12" s="1"/>
  <c r="K24" i="12"/>
  <c r="H24" i="12"/>
  <c r="M24" i="12" s="1"/>
  <c r="K22" i="12"/>
  <c r="H22" i="12"/>
  <c r="M22" i="12" s="1"/>
  <c r="K20" i="12"/>
  <c r="H20" i="12"/>
  <c r="M20" i="12" s="1"/>
  <c r="K19" i="12"/>
  <c r="H19" i="12"/>
  <c r="M19" i="12" s="1"/>
  <c r="K18" i="12"/>
  <c r="H18" i="12"/>
  <c r="M18" i="12" s="1"/>
  <c r="K16" i="12"/>
  <c r="K87" i="12"/>
  <c r="H87" i="12"/>
  <c r="M87" i="12" s="1"/>
  <c r="K86" i="12"/>
  <c r="H86" i="12"/>
  <c r="M86" i="12" s="1"/>
  <c r="N86" i="12" s="1"/>
  <c r="K85" i="12"/>
  <c r="H85" i="12"/>
  <c r="M85" i="12" s="1"/>
  <c r="K15" i="12"/>
  <c r="H15" i="12"/>
  <c r="M15" i="12" s="1"/>
  <c r="N15" i="12" s="1"/>
  <c r="K14" i="12"/>
  <c r="H14" i="12"/>
  <c r="M14" i="12" s="1"/>
  <c r="K13" i="12"/>
  <c r="H13" i="12"/>
  <c r="M13" i="12" s="1"/>
  <c r="N13" i="12" s="1"/>
  <c r="K9" i="12"/>
  <c r="H9" i="12"/>
  <c r="M9" i="12" s="1"/>
  <c r="A9" i="12"/>
  <c r="K8" i="12"/>
  <c r="H8" i="12"/>
  <c r="M8" i="12" s="1"/>
  <c r="A8" i="12"/>
  <c r="K7" i="12"/>
  <c r="H7" i="12"/>
  <c r="M7" i="12" s="1"/>
  <c r="N7" i="12" s="1"/>
  <c r="A7" i="12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I31" i="11"/>
  <c r="H31" i="11"/>
  <c r="G31" i="11"/>
  <c r="I30" i="11"/>
  <c r="H30" i="11"/>
  <c r="G30" i="11"/>
  <c r="I29" i="11"/>
  <c r="H29" i="11"/>
  <c r="G29" i="11"/>
  <c r="I28" i="11"/>
  <c r="H28" i="11"/>
  <c r="G28" i="11"/>
  <c r="I27" i="11"/>
  <c r="H27" i="11"/>
  <c r="G27" i="11"/>
  <c r="I26" i="11"/>
  <c r="H26" i="11"/>
  <c r="G26" i="11"/>
  <c r="I25" i="11"/>
  <c r="H25" i="11"/>
  <c r="G25" i="11"/>
  <c r="I24" i="11"/>
  <c r="H24" i="11"/>
  <c r="G24" i="11"/>
  <c r="I23" i="1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I18" i="11"/>
  <c r="H18" i="11"/>
  <c r="G18" i="11"/>
  <c r="E31" i="11"/>
  <c r="E30" i="11"/>
  <c r="E29" i="11"/>
  <c r="E28" i="11"/>
  <c r="E26" i="11"/>
  <c r="E25" i="11"/>
  <c r="E24" i="11"/>
  <c r="E23" i="11"/>
  <c r="E22" i="11"/>
  <c r="E21" i="11"/>
  <c r="E20" i="11"/>
  <c r="E18" i="11"/>
  <c r="C31" i="11"/>
  <c r="D31" i="11"/>
  <c r="C30" i="11"/>
  <c r="C28" i="11"/>
  <c r="D28" i="11"/>
  <c r="D27" i="11"/>
  <c r="C25" i="11"/>
  <c r="C24" i="11"/>
  <c r="D24" i="11"/>
  <c r="C23" i="11"/>
  <c r="D23" i="11"/>
  <c r="C22" i="11"/>
  <c r="D22" i="11"/>
  <c r="C21" i="11"/>
  <c r="C20" i="11"/>
  <c r="D20" i="11"/>
  <c r="D19" i="11"/>
  <c r="D18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N24" i="12" l="1"/>
  <c r="N26" i="12"/>
  <c r="N29" i="12"/>
  <c r="N31" i="12"/>
  <c r="N35" i="12"/>
  <c r="N37" i="12"/>
  <c r="N41" i="12"/>
  <c r="N43" i="12"/>
  <c r="N47" i="12"/>
  <c r="N49" i="12"/>
  <c r="N52" i="12"/>
  <c r="N54" i="12"/>
  <c r="N57" i="12"/>
  <c r="N62" i="12"/>
  <c r="N66" i="12"/>
  <c r="N74" i="12"/>
  <c r="N76" i="12"/>
  <c r="N23" i="12"/>
  <c r="N40" i="12"/>
  <c r="N65" i="12"/>
  <c r="N82" i="12"/>
  <c r="N79" i="12"/>
  <c r="N20" i="12"/>
  <c r="N83" i="12"/>
  <c r="N81" i="12"/>
  <c r="N75" i="12"/>
  <c r="N8" i="12"/>
  <c r="N68" i="12"/>
  <c r="N71" i="12"/>
  <c r="N77" i="12"/>
  <c r="N14" i="12"/>
  <c r="N85" i="12"/>
  <c r="N87" i="12"/>
  <c r="N18" i="12"/>
  <c r="N19" i="12"/>
  <c r="N22" i="12"/>
  <c r="N25" i="12"/>
  <c r="N28" i="12"/>
  <c r="N30" i="12"/>
  <c r="N33" i="12"/>
  <c r="N36" i="12"/>
  <c r="N39" i="12"/>
  <c r="N42" i="12"/>
  <c r="N45" i="12"/>
  <c r="N48" i="12"/>
  <c r="N51" i="12"/>
  <c r="N53" i="12"/>
  <c r="N56" i="12"/>
  <c r="N60" i="12"/>
  <c r="N64" i="12"/>
  <c r="N67" i="12"/>
  <c r="N70" i="12"/>
  <c r="N9" i="12"/>
  <c r="A28" i="10"/>
  <c r="A31" i="10"/>
  <c r="A18" i="10"/>
  <c r="E69" i="10"/>
  <c r="E68" i="10"/>
  <c r="E65" i="10"/>
  <c r="H64" i="10"/>
  <c r="M64" i="10" s="1"/>
  <c r="K65" i="10"/>
  <c r="H65" i="10"/>
  <c r="M65" i="10" s="1"/>
  <c r="N65" i="10" s="1"/>
  <c r="A65" i="10"/>
  <c r="K64" i="10"/>
  <c r="A64" i="10"/>
  <c r="A63" i="10"/>
  <c r="A62" i="10"/>
  <c r="K69" i="10"/>
  <c r="H69" i="10"/>
  <c r="M69" i="10" s="1"/>
  <c r="N69" i="10" s="1"/>
  <c r="A69" i="10"/>
  <c r="K68" i="10"/>
  <c r="H68" i="10"/>
  <c r="M68" i="10" s="1"/>
  <c r="A68" i="10"/>
  <c r="K67" i="10"/>
  <c r="H67" i="10"/>
  <c r="M67" i="10" s="1"/>
  <c r="N67" i="10" s="1"/>
  <c r="A67" i="10"/>
  <c r="K61" i="10"/>
  <c r="H61" i="10"/>
  <c r="M61" i="10" s="1"/>
  <c r="N61" i="10" s="1"/>
  <c r="A61" i="10"/>
  <c r="K60" i="10"/>
  <c r="H60" i="10"/>
  <c r="M60" i="10" s="1"/>
  <c r="N60" i="10" s="1"/>
  <c r="A60" i="10"/>
  <c r="K59" i="10"/>
  <c r="H59" i="10"/>
  <c r="M59" i="10" s="1"/>
  <c r="A59" i="10"/>
  <c r="A58" i="10"/>
  <c r="K57" i="10"/>
  <c r="H57" i="10"/>
  <c r="M57" i="10" s="1"/>
  <c r="A57" i="10"/>
  <c r="K56" i="10"/>
  <c r="H56" i="10"/>
  <c r="M56" i="10" s="1"/>
  <c r="N56" i="10" s="1"/>
  <c r="A56" i="10"/>
  <c r="K55" i="10"/>
  <c r="H55" i="10"/>
  <c r="M55" i="10" s="1"/>
  <c r="A55" i="10"/>
  <c r="A54" i="10"/>
  <c r="K53" i="10"/>
  <c r="H53" i="10"/>
  <c r="M53" i="10" s="1"/>
  <c r="N53" i="10" s="1"/>
  <c r="K52" i="10"/>
  <c r="H52" i="10"/>
  <c r="M52" i="10" s="1"/>
  <c r="A52" i="10"/>
  <c r="K51" i="10"/>
  <c r="H51" i="10"/>
  <c r="M51" i="10" s="1"/>
  <c r="N51" i="10" s="1"/>
  <c r="A51" i="10"/>
  <c r="A50" i="10"/>
  <c r="K49" i="10"/>
  <c r="H49" i="10"/>
  <c r="M49" i="10" s="1"/>
  <c r="N49" i="10" s="1"/>
  <c r="K48" i="10"/>
  <c r="H48" i="10"/>
  <c r="M48" i="10" s="1"/>
  <c r="N48" i="10" s="1"/>
  <c r="A49" i="10"/>
  <c r="A47" i="10"/>
  <c r="A46" i="10"/>
  <c r="A48" i="10"/>
  <c r="K45" i="10"/>
  <c r="H45" i="10"/>
  <c r="M45" i="10" s="1"/>
  <c r="N45" i="10" s="1"/>
  <c r="A45" i="10"/>
  <c r="K44" i="10"/>
  <c r="H44" i="10"/>
  <c r="M44" i="10" s="1"/>
  <c r="A44" i="10"/>
  <c r="A43" i="10"/>
  <c r="K42" i="10"/>
  <c r="H42" i="10"/>
  <c r="M42" i="10" s="1"/>
  <c r="N42" i="10" s="1"/>
  <c r="A42" i="10"/>
  <c r="K41" i="10"/>
  <c r="H41" i="10"/>
  <c r="M41" i="10" s="1"/>
  <c r="A41" i="10"/>
  <c r="A40" i="10"/>
  <c r="K39" i="10"/>
  <c r="H39" i="10"/>
  <c r="M39" i="10" s="1"/>
  <c r="N39" i="10" s="1"/>
  <c r="A39" i="10"/>
  <c r="K38" i="10"/>
  <c r="H38" i="10"/>
  <c r="M38" i="10" s="1"/>
  <c r="A38" i="10"/>
  <c r="A37" i="10"/>
  <c r="K36" i="10"/>
  <c r="H36" i="10"/>
  <c r="M36" i="10" s="1"/>
  <c r="A36" i="10"/>
  <c r="K35" i="10"/>
  <c r="H35" i="10"/>
  <c r="M35" i="10" s="1"/>
  <c r="N35" i="10" s="1"/>
  <c r="A35" i="10"/>
  <c r="A34" i="10"/>
  <c r="K33" i="10"/>
  <c r="H33" i="10"/>
  <c r="M33" i="10" s="1"/>
  <c r="N33" i="10" s="1"/>
  <c r="A33" i="10"/>
  <c r="K32" i="10"/>
  <c r="H32" i="10"/>
  <c r="M32" i="10" s="1"/>
  <c r="A32" i="10"/>
  <c r="K30" i="10"/>
  <c r="H30" i="10"/>
  <c r="M30" i="10" s="1"/>
  <c r="N30" i="10" s="1"/>
  <c r="A30" i="10"/>
  <c r="K29" i="10"/>
  <c r="H29" i="10"/>
  <c r="M29" i="10" s="1"/>
  <c r="N29" i="10" s="1"/>
  <c r="A29" i="10"/>
  <c r="A25" i="10"/>
  <c r="A24" i="10"/>
  <c r="K23" i="10"/>
  <c r="H23" i="10"/>
  <c r="M23" i="10" s="1"/>
  <c r="N23" i="10" s="1"/>
  <c r="A23" i="10"/>
  <c r="K22" i="10"/>
  <c r="H22" i="10"/>
  <c r="M22" i="10" s="1"/>
  <c r="A22" i="10"/>
  <c r="E15" i="10"/>
  <c r="E14" i="10"/>
  <c r="E13" i="10"/>
  <c r="E12" i="10"/>
  <c r="K18" i="10"/>
  <c r="H18" i="10"/>
  <c r="M18" i="10" s="1"/>
  <c r="N18" i="10" s="1"/>
  <c r="K20" i="10"/>
  <c r="H20" i="10"/>
  <c r="M20" i="10" s="1"/>
  <c r="N20" i="10" s="1"/>
  <c r="A20" i="10"/>
  <c r="K19" i="10"/>
  <c r="H19" i="10"/>
  <c r="M19" i="10" s="1"/>
  <c r="A19" i="10"/>
  <c r="K17" i="10"/>
  <c r="H17" i="10"/>
  <c r="M17" i="10" s="1"/>
  <c r="N17" i="10" s="1"/>
  <c r="A17" i="10"/>
  <c r="E16" i="5"/>
  <c r="K24" i="7"/>
  <c r="H24" i="7"/>
  <c r="M24" i="7" s="1"/>
  <c r="N24" i="7" s="1"/>
  <c r="A24" i="7"/>
  <c r="E23" i="7"/>
  <c r="K20" i="7"/>
  <c r="H20" i="7"/>
  <c r="M20" i="7" s="1"/>
  <c r="N20" i="7" s="1"/>
  <c r="K19" i="7"/>
  <c r="H19" i="7"/>
  <c r="M19" i="7" s="1"/>
  <c r="N19" i="7" s="1"/>
  <c r="E17" i="7"/>
  <c r="E13" i="7"/>
  <c r="E12" i="7"/>
  <c r="H12" i="7" s="1"/>
  <c r="M12" i="7" s="1"/>
  <c r="E11" i="7"/>
  <c r="K14" i="7"/>
  <c r="H14" i="7"/>
  <c r="M14" i="7" s="1"/>
  <c r="N14" i="7" s="1"/>
  <c r="A14" i="7"/>
  <c r="K12" i="7"/>
  <c r="A12" i="7"/>
  <c r="O5" i="12" l="1"/>
  <c r="O10" i="12"/>
  <c r="N64" i="10"/>
  <c r="N32" i="10"/>
  <c r="N44" i="10"/>
  <c r="N55" i="10"/>
  <c r="N41" i="10"/>
  <c r="N36" i="10"/>
  <c r="N38" i="10"/>
  <c r="N52" i="10"/>
  <c r="N57" i="10"/>
  <c r="N59" i="10"/>
  <c r="N68" i="10"/>
  <c r="N19" i="10"/>
  <c r="N22" i="10"/>
  <c r="N12" i="7"/>
  <c r="A66" i="10"/>
  <c r="A53" i="10"/>
  <c r="K27" i="10"/>
  <c r="H27" i="10"/>
  <c r="M27" i="10" s="1"/>
  <c r="N27" i="10" s="1"/>
  <c r="A27" i="10"/>
  <c r="K26" i="10"/>
  <c r="H26" i="10"/>
  <c r="M26" i="10" s="1"/>
  <c r="A26" i="10"/>
  <c r="K15" i="10"/>
  <c r="H15" i="10"/>
  <c r="M15" i="10" s="1"/>
  <c r="N15" i="10" s="1"/>
  <c r="A15" i="10"/>
  <c r="K14" i="10"/>
  <c r="H14" i="10"/>
  <c r="M14" i="10" s="1"/>
  <c r="A14" i="10"/>
  <c r="K13" i="10"/>
  <c r="H13" i="10"/>
  <c r="M13" i="10" s="1"/>
  <c r="N13" i="10" s="1"/>
  <c r="A13" i="10"/>
  <c r="A11" i="10"/>
  <c r="K9" i="10"/>
  <c r="H9" i="10"/>
  <c r="M9" i="10" s="1"/>
  <c r="N9" i="10" s="1"/>
  <c r="A9" i="10"/>
  <c r="K8" i="10"/>
  <c r="H8" i="10"/>
  <c r="M8" i="10" s="1"/>
  <c r="A8" i="10"/>
  <c r="K7" i="10"/>
  <c r="H7" i="10"/>
  <c r="M7" i="10" s="1"/>
  <c r="N7" i="10" s="1"/>
  <c r="A7" i="10"/>
  <c r="O88" i="12" l="1"/>
  <c r="O89" i="12" s="1"/>
  <c r="O2" i="12" s="1"/>
  <c r="N8" i="10"/>
  <c r="N26" i="10"/>
  <c r="N14" i="10"/>
  <c r="O10" i="10" s="1"/>
  <c r="O70" i="10" s="1"/>
  <c r="O5" i="10"/>
  <c r="O71" i="10" l="1"/>
  <c r="O2" i="10" s="1"/>
  <c r="K16" i="5" l="1"/>
  <c r="H16" i="5"/>
  <c r="M16" i="5" s="1"/>
  <c r="N16" i="5" s="1"/>
  <c r="K15" i="5"/>
  <c r="H15" i="5"/>
  <c r="M15" i="5" s="1"/>
  <c r="N15" i="5" s="1"/>
  <c r="A15" i="5"/>
  <c r="A14" i="5"/>
  <c r="A13" i="5"/>
  <c r="A12" i="5"/>
  <c r="K13" i="5"/>
  <c r="H13" i="5"/>
  <c r="M13" i="5" s="1"/>
  <c r="K12" i="5"/>
  <c r="H12" i="5"/>
  <c r="M12" i="5" s="1"/>
  <c r="N12" i="5" s="1"/>
  <c r="A29" i="7"/>
  <c r="A28" i="7"/>
  <c r="A27" i="7"/>
  <c r="A26" i="7"/>
  <c r="A25" i="7"/>
  <c r="A23" i="7"/>
  <c r="A22" i="7"/>
  <c r="A21" i="7"/>
  <c r="A18" i="7"/>
  <c r="A17" i="7"/>
  <c r="A16" i="7"/>
  <c r="A15" i="7"/>
  <c r="A13" i="7"/>
  <c r="A11" i="7"/>
  <c r="A10" i="7"/>
  <c r="A9" i="7"/>
  <c r="H27" i="7"/>
  <c r="M27" i="7" s="1"/>
  <c r="N27" i="7" s="1"/>
  <c r="K29" i="7"/>
  <c r="H29" i="7"/>
  <c r="M29" i="7" s="1"/>
  <c r="N29" i="7" s="1"/>
  <c r="K28" i="7"/>
  <c r="H28" i="7"/>
  <c r="M28" i="7" s="1"/>
  <c r="N28" i="7" s="1"/>
  <c r="K27" i="7"/>
  <c r="K26" i="7"/>
  <c r="H26" i="7"/>
  <c r="M26" i="7" s="1"/>
  <c r="H18" i="7"/>
  <c r="M18" i="7" s="1"/>
  <c r="N18" i="7" s="1"/>
  <c r="K23" i="7"/>
  <c r="H23" i="7"/>
  <c r="M23" i="7" s="1"/>
  <c r="N23" i="7" s="1"/>
  <c r="K21" i="7"/>
  <c r="H21" i="7"/>
  <c r="M21" i="7" s="1"/>
  <c r="N21" i="7" s="1"/>
  <c r="K18" i="7"/>
  <c r="K17" i="7"/>
  <c r="H17" i="7"/>
  <c r="M17" i="7" s="1"/>
  <c r="K16" i="7"/>
  <c r="H16" i="7"/>
  <c r="M16" i="7" s="1"/>
  <c r="N13" i="5" l="1"/>
  <c r="N17" i="7"/>
  <c r="N16" i="7"/>
  <c r="N26" i="7"/>
  <c r="K13" i="7" l="1"/>
  <c r="H13" i="7"/>
  <c r="M13" i="7" s="1"/>
  <c r="K11" i="7"/>
  <c r="H11" i="7"/>
  <c r="M11" i="7" s="1"/>
  <c r="K8" i="7"/>
  <c r="H8" i="7"/>
  <c r="M8" i="7" s="1"/>
  <c r="N8" i="7" s="1"/>
  <c r="A8" i="7"/>
  <c r="K7" i="7"/>
  <c r="H7" i="7"/>
  <c r="M7" i="7" s="1"/>
  <c r="A7" i="7"/>
  <c r="K6" i="7"/>
  <c r="H6" i="7"/>
  <c r="M6" i="7" s="1"/>
  <c r="A6" i="7"/>
  <c r="N13" i="7" l="1"/>
  <c r="N7" i="7"/>
  <c r="N6" i="7"/>
  <c r="O4" i="7" s="1"/>
  <c r="N11" i="7"/>
  <c r="O9" i="7" s="1"/>
  <c r="O30" i="7" s="1"/>
  <c r="O31" i="7" s="1"/>
  <c r="O1" i="7" s="1"/>
  <c r="K11" i="5"/>
  <c r="H11" i="5"/>
  <c r="M11" i="5" s="1"/>
  <c r="N11" i="5" s="1"/>
  <c r="A11" i="5"/>
  <c r="A10" i="5"/>
  <c r="A9" i="5"/>
  <c r="K8" i="5"/>
  <c r="H8" i="5"/>
  <c r="M8" i="5" s="1"/>
  <c r="A8" i="5"/>
  <c r="K7" i="5"/>
  <c r="H7" i="5"/>
  <c r="M7" i="5" s="1"/>
  <c r="A7" i="5"/>
  <c r="K6" i="5"/>
  <c r="H6" i="5"/>
  <c r="M6" i="5" s="1"/>
  <c r="A6" i="5"/>
  <c r="N8" i="5" l="1"/>
  <c r="N6" i="5"/>
  <c r="N7" i="5"/>
  <c r="O9" i="5" l="1"/>
  <c r="O4" i="5"/>
  <c r="O17" i="5" l="1"/>
  <c r="O18" i="5" s="1"/>
  <c r="O1" i="5" s="1"/>
</calcChain>
</file>

<file path=xl/sharedStrings.xml><?xml version="1.0" encoding="utf-8"?>
<sst xmlns="http://schemas.openxmlformats.org/spreadsheetml/2006/main" count="584" uniqueCount="208">
  <si>
    <t>Project Title:</t>
  </si>
  <si>
    <t>Addendums</t>
  </si>
  <si>
    <t>REV</t>
  </si>
  <si>
    <t>Scope</t>
  </si>
  <si>
    <t>QTO Date</t>
  </si>
  <si>
    <t>Total Bid Price</t>
  </si>
  <si>
    <t>Address:</t>
  </si>
  <si>
    <t>No.</t>
  </si>
  <si>
    <t>DWG</t>
  </si>
  <si>
    <t>DETAIL</t>
  </si>
  <si>
    <t>DESCRIPTION</t>
  </si>
  <si>
    <t>QTY</t>
  </si>
  <si>
    <t>UNIT</t>
  </si>
  <si>
    <t>Wastage</t>
  </si>
  <si>
    <t>Qty after wastage</t>
  </si>
  <si>
    <t>Labor Total</t>
  </si>
  <si>
    <t>Material Unit Price</t>
  </si>
  <si>
    <t>Material Total</t>
  </si>
  <si>
    <t>Item Total Price</t>
  </si>
  <si>
    <t>DIVISION TOTAL</t>
  </si>
  <si>
    <t>DIVISION-1 GENERAL CONDITIONS</t>
  </si>
  <si>
    <t>Project Startup &amp; Maintenance</t>
  </si>
  <si>
    <t>Project Management &amp; Supervision</t>
  </si>
  <si>
    <t>LS</t>
  </si>
  <si>
    <t>Submittals &amp; Drawings</t>
  </si>
  <si>
    <t>Temporary Facilities / Site mobilization</t>
  </si>
  <si>
    <t>EA</t>
  </si>
  <si>
    <t>LF</t>
  </si>
  <si>
    <t>SF</t>
  </si>
  <si>
    <t>Sub-Total</t>
  </si>
  <si>
    <t>Total Bid</t>
  </si>
  <si>
    <t>NO.</t>
  </si>
  <si>
    <t>5/8" CEMENT BOARD</t>
  </si>
  <si>
    <t>FRP</t>
  </si>
  <si>
    <t>MATERIAL SIZE</t>
  </si>
  <si>
    <t>GAUGE</t>
  </si>
  <si>
    <t>1 5/8"</t>
  </si>
  <si>
    <t>2 1/2"</t>
  </si>
  <si>
    <t>3 5/8"</t>
  </si>
  <si>
    <t>6"</t>
  </si>
  <si>
    <t>8"</t>
  </si>
  <si>
    <t>7/8" HC</t>
  </si>
  <si>
    <t>1 1/2" HC</t>
  </si>
  <si>
    <t>2 12" CH</t>
  </si>
  <si>
    <t>4" CH</t>
  </si>
  <si>
    <t>6" CH</t>
  </si>
  <si>
    <t>METAL FRAMING</t>
  </si>
  <si>
    <t>DRYWALL</t>
  </si>
  <si>
    <t>BOARD SIZE</t>
  </si>
  <si>
    <t>TYPE</t>
  </si>
  <si>
    <t>1/2" REGULAR</t>
  </si>
  <si>
    <t>1/2" TYPE X</t>
  </si>
  <si>
    <t>1/2" MM RESISTANT</t>
  </si>
  <si>
    <t>5/8" REGULAR</t>
  </si>
  <si>
    <t>5/8" TYPE X</t>
  </si>
  <si>
    <t>5/8" MM RESISTANT</t>
  </si>
  <si>
    <t>1/2" CEMENT BOARD</t>
  </si>
  <si>
    <t>5/8" DENS GLASS</t>
  </si>
  <si>
    <t>WALL HEIGHT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</si>
  <si>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</si>
  <si>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</si>
  <si>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</si>
  <si>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</si>
  <si>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</si>
  <si>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</si>
  <si>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</si>
  <si>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</si>
  <si>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</si>
  <si>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</si>
  <si>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</si>
  <si>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</si>
  <si>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</si>
  <si>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14'</t>
  </si>
  <si>
    <t>15'</t>
  </si>
  <si>
    <t>16'</t>
  </si>
  <si>
    <t>17'</t>
  </si>
  <si>
    <t>18'</t>
  </si>
  <si>
    <t>19'</t>
  </si>
  <si>
    <t>20'</t>
  </si>
  <si>
    <t>21'</t>
  </si>
  <si>
    <t>22'</t>
  </si>
  <si>
    <t>23'</t>
  </si>
  <si>
    <t>24'</t>
  </si>
  <si>
    <t>PAINTING</t>
  </si>
  <si>
    <t>Labor Price</t>
  </si>
  <si>
    <t>ROOFING</t>
  </si>
  <si>
    <t>TPO ROOFING</t>
  </si>
  <si>
    <t>FLASHING AND COPINGS</t>
  </si>
  <si>
    <t>ROOF ACCESSORIES</t>
  </si>
  <si>
    <t>RIGID INSULATION</t>
  </si>
  <si>
    <t>A2</t>
  </si>
  <si>
    <t>TYPICAL</t>
  </si>
  <si>
    <t>EXCLUSIONS:</t>
  </si>
  <si>
    <t>PLANS DATED:</t>
  </si>
  <si>
    <t>Labor Price / hr</t>
  </si>
  <si>
    <t>Working hours</t>
  </si>
  <si>
    <t>Submittals &amp; Shop Drawings</t>
  </si>
  <si>
    <t>CY</t>
  </si>
  <si>
    <t>LB</t>
  </si>
  <si>
    <t>TON</t>
  </si>
  <si>
    <t>ROLL</t>
  </si>
  <si>
    <t>#5 REBAR</t>
  </si>
  <si>
    <t>SITE CONCRETE</t>
  </si>
  <si>
    <t>#4 REBAR</t>
  </si>
  <si>
    <t>DIVISION-03 CONCRETE</t>
  </si>
  <si>
    <t>60mils SINGLE PLY ROOFING MEMBRANE WHITE</t>
  </si>
  <si>
    <t>R-20 RIGID INSULATION</t>
  </si>
  <si>
    <t>R-30 RIGID INSULATION</t>
  </si>
  <si>
    <t>CRICKET</t>
  </si>
  <si>
    <t>A-100-300</t>
  </si>
  <si>
    <t>KN 301 / A-100-300</t>
  </si>
  <si>
    <t>24GA PREFINISHED SLOPED METAL COPING</t>
  </si>
  <si>
    <t>CONTINOUS CLEAT</t>
  </si>
  <si>
    <t>WOOD NAILER</t>
  </si>
  <si>
    <t>WOOD BLOCKING</t>
  </si>
  <si>
    <t>DETAIL 10 / A-100-702</t>
  </si>
  <si>
    <t>CONTINOUS METAL GUTTER</t>
  </si>
  <si>
    <t>2X PT WOOD NAILER</t>
  </si>
  <si>
    <t>DETAIL 1 / A-100-703</t>
  </si>
  <si>
    <t>KN 408 / A-100-401</t>
  </si>
  <si>
    <t>DOWNSPOUTS</t>
  </si>
  <si>
    <t>SCUPPER</t>
  </si>
  <si>
    <t>DETAL 7 / A-100-703</t>
  </si>
  <si>
    <t>A401
A402
A403
A404</t>
  </si>
  <si>
    <t>SINGLE PLY PARAPET FLASHING</t>
  </si>
  <si>
    <t>ROOF HATCH CURB</t>
  </si>
  <si>
    <t>PRE-FAB METAL ROOF HATCH</t>
  </si>
  <si>
    <t>METAL ROOF CURB</t>
  </si>
  <si>
    <t>DETAIL 3 / A-100-703</t>
  </si>
  <si>
    <t>STONEMONT FT PIERCE BLDG 1</t>
  </si>
  <si>
    <t>ORANGE AVENUE FORT PIERCE, FLORIDA</t>
  </si>
  <si>
    <t>KN A / A-100-401</t>
  </si>
  <si>
    <t>P-A
SHERWIN WILLIAMS 6252
ICE CUBE</t>
  </si>
  <si>
    <t>KN B / A-100-401</t>
  </si>
  <si>
    <t>P-B
SHERWIN WILLIAMS 7073
NETWORK GRAY</t>
  </si>
  <si>
    <t>KN C / A-100-401</t>
  </si>
  <si>
    <t>P-C
SHERWIN WILLIAMS 6244
NAVAL</t>
  </si>
  <si>
    <t>MAIN BUILDING EXTERIOR</t>
  </si>
  <si>
    <t>SITE</t>
  </si>
  <si>
    <t>KN 208 / A-100-107</t>
  </si>
  <si>
    <t>BOLLARDS
SAFETY YELLOW</t>
  </si>
  <si>
    <t>KN 104 / A-100-107</t>
  </si>
  <si>
    <t>PAINTED PARKING STRIPS</t>
  </si>
  <si>
    <t>SOG 8" UNREINFORCED</t>
  </si>
  <si>
    <t>F'c 4000PSI CONCRETE</t>
  </si>
  <si>
    <t>10mil VAPOR BARRIER</t>
  </si>
  <si>
    <t>CONCRETE</t>
  </si>
  <si>
    <t>SOG 8" REINFORCED</t>
  </si>
  <si>
    <t>LBS</t>
  </si>
  <si>
    <t>6" COMPACTED SUB GRADE</t>
  </si>
  <si>
    <t>SOG 6" UNREINFORCED</t>
  </si>
  <si>
    <t>SLAB ON GRADE</t>
  </si>
  <si>
    <t>SPOT FOOTINGS</t>
  </si>
  <si>
    <t>F50 5'X5'X1'</t>
  </si>
  <si>
    <t>F'c 3000PSI CONCRETE</t>
  </si>
  <si>
    <t>F56 5'6"X5'6"X1'</t>
  </si>
  <si>
    <t>F90 9'X9'X1'9"</t>
  </si>
  <si>
    <t>#6 REBAR</t>
  </si>
  <si>
    <t>F96 9'6"X9'6"X2'</t>
  </si>
  <si>
    <t>#7 REBAR</t>
  </si>
  <si>
    <t>F100 10'X10'X2'</t>
  </si>
  <si>
    <t>F116 11'6"X11'6"X1'6"</t>
  </si>
  <si>
    <t>F126 12'6"X12'6"X2'</t>
  </si>
  <si>
    <t>CONTINOUS FOOTING</t>
  </si>
  <si>
    <t>SF14 1'4"X0'10"</t>
  </si>
  <si>
    <t>#5 CONTIONOUS REBAR</t>
  </si>
  <si>
    <t>SF20 2'X1'</t>
  </si>
  <si>
    <t>#5 TRANS REBAR</t>
  </si>
  <si>
    <t>SF29 2'9"X1'</t>
  </si>
  <si>
    <t>SF30 3'X1'</t>
  </si>
  <si>
    <t>MISCELLANEOUS</t>
  </si>
  <si>
    <t>POUR STRIP</t>
  </si>
  <si>
    <t>FREE CONTRACTION JOINT</t>
  </si>
  <si>
    <t>CONTROL JOINT</t>
  </si>
  <si>
    <t>STAIRS</t>
  </si>
  <si>
    <t>S101-S110</t>
  </si>
  <si>
    <t>S111-S120</t>
  </si>
  <si>
    <t>S101
S105
S106
S110</t>
  </si>
  <si>
    <t>FOOTING SCHEDULE / S100</t>
  </si>
  <si>
    <t>DETAIL 7 / S302</t>
  </si>
  <si>
    <t>4/S301</t>
  </si>
  <si>
    <t>1/S301</t>
  </si>
  <si>
    <t>INTERIOR PAINTING</t>
  </si>
  <si>
    <t>TILT PANELS</t>
  </si>
  <si>
    <t>PANEL</t>
  </si>
  <si>
    <t>THICKNESS</t>
  </si>
  <si>
    <t>VOLUME</t>
  </si>
  <si>
    <t>AREA</t>
  </si>
  <si>
    <t>P-1</t>
  </si>
  <si>
    <t>P-3</t>
  </si>
  <si>
    <t>P-5</t>
  </si>
  <si>
    <t>P-6</t>
  </si>
  <si>
    <t>P-7</t>
  </si>
  <si>
    <t>P-8</t>
  </si>
  <si>
    <t>P-77</t>
  </si>
  <si>
    <t>P-78</t>
  </si>
  <si>
    <t>P-79</t>
  </si>
  <si>
    <t>P-80</t>
  </si>
  <si>
    <t>P-81</t>
  </si>
  <si>
    <t>P-184</t>
  </si>
  <si>
    <t>P-185</t>
  </si>
  <si>
    <t>P-196</t>
  </si>
  <si>
    <t>#3</t>
  </si>
  <si>
    <t>#5</t>
  </si>
  <si>
    <t>#7</t>
  </si>
  <si>
    <t>FORMWORKS (10.75' WIDE)</t>
  </si>
  <si>
    <t>#3 REBAR</t>
  </si>
  <si>
    <t>FORMWORKS (11.5' WIDE)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</si>
</sst>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sz val="11"/>
      <color rgb="FF3F3F3F"/>
      <name val="Aptos"/>
      <family val="2"/>
    </font>
    <font>
      <sz val="11"/>
      <color rgb="FF3F3F3F"/>
      <name val="Aptos"/>
      <family val="2"/>
    </font>
    <font>
      <sz val="11"/>
      <color theme="1"/>
      <name val="Aptos"/>
    </font>
    <font>
      <sz val="9"/>
      <color theme="1"/>
      <name val="Aptos"/>
      <family val="2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ECECEC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0" tint="-0.14999847407452621"/>
        <bgColor rgb="FFC8C8C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9" tint="0.79998168889431442"/>
        <bgColor rgb="FFBDD6EE"/>
      </patternFill>
    </fill>
    <fill>
      <patternFill patternType="solid">
        <fgColor theme="0"/>
        <bgColor rgb="FFC8C8C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8C8C8"/>
        <bgColor rgb="FFC8C8C8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rgb="FFECECEC"/>
        <bgColor rgb="FFECECEC"/>
      </patternFill>
    </fill>
    <fill>
      <patternFill patternType="solid">
        <fgColor rgb="FFBDD6EE"/>
        <bgColor rgb="FFBDD6EE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4" fontId="4" fillId="5" borderId="2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9" fontId="4" fillId="6" borderId="2" xfId="0" applyNumberFormat="1" applyFont="1" applyFill="1" applyBorder="1" applyAlignment="1">
      <alignment horizontal="center" vertical="center"/>
    </xf>
    <xf numFmtId="44" fontId="4" fillId="6" borderId="2" xfId="1" applyFont="1" applyFill="1" applyBorder="1" applyAlignment="1">
      <alignment horizontal="center" vertical="center"/>
    </xf>
    <xf numFmtId="44" fontId="4" fillId="6" borderId="2" xfId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44" fontId="5" fillId="7" borderId="2" xfId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9" fontId="3" fillId="4" borderId="2" xfId="0" applyNumberFormat="1" applyFont="1" applyFill="1" applyBorder="1" applyAlignment="1">
      <alignment horizontal="center" vertical="center"/>
    </xf>
    <xf numFmtId="44" fontId="6" fillId="3" borderId="2" xfId="3" applyNumberFormat="1" applyFont="1" applyFill="1" applyBorder="1" applyAlignment="1">
      <alignment horizontal="center" vertical="center"/>
    </xf>
    <xf numFmtId="44" fontId="3" fillId="4" borderId="2" xfId="1" applyFont="1" applyFill="1" applyBorder="1" applyAlignment="1">
      <alignment horizontal="center" vertical="center"/>
    </xf>
    <xf numFmtId="44" fontId="6" fillId="3" borderId="2" xfId="3" applyNumberFormat="1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4" fontId="6" fillId="3" borderId="2" xfId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44" fontId="6" fillId="8" borderId="2" xfId="1" applyFont="1" applyFill="1" applyBorder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44" fontId="4" fillId="9" borderId="2" xfId="1" applyFont="1" applyFill="1" applyBorder="1" applyAlignment="1">
      <alignment horizontal="center" vertical="center"/>
    </xf>
    <xf numFmtId="44" fontId="5" fillId="11" borderId="2" xfId="1" applyFon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9" fontId="3" fillId="9" borderId="2" xfId="2" applyFont="1" applyFill="1" applyBorder="1" applyAlignment="1">
      <alignment horizontal="center" vertical="center"/>
    </xf>
    <xf numFmtId="44" fontId="7" fillId="4" borderId="2" xfId="1" applyFont="1" applyFill="1" applyBorder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44" fontId="4" fillId="14" borderId="2" xfId="1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49" fontId="3" fillId="13" borderId="3" xfId="0" applyNumberFormat="1" applyFont="1" applyFill="1" applyBorder="1" applyAlignment="1">
      <alignment horizontal="center" vertical="center"/>
    </xf>
    <xf numFmtId="49" fontId="3" fillId="13" borderId="4" xfId="0" applyNumberFormat="1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vertical="center"/>
    </xf>
    <xf numFmtId="0" fontId="3" fillId="13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vertical="center"/>
    </xf>
    <xf numFmtId="44" fontId="4" fillId="13" borderId="4" xfId="1" applyFont="1" applyFill="1" applyBorder="1" applyAlignment="1">
      <alignment vertical="center"/>
    </xf>
    <xf numFmtId="44" fontId="4" fillId="13" borderId="5" xfId="0" applyNumberFormat="1" applyFont="1" applyFill="1" applyBorder="1" applyAlignment="1">
      <alignment vertical="center"/>
    </xf>
    <xf numFmtId="49" fontId="3" fillId="13" borderId="6" xfId="0" applyNumberFormat="1" applyFont="1" applyFill="1" applyBorder="1" applyAlignment="1">
      <alignment horizontal="center" vertical="center"/>
    </xf>
    <xf numFmtId="49" fontId="3" fillId="13" borderId="7" xfId="0" applyNumberFormat="1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vertical="center"/>
    </xf>
    <xf numFmtId="0" fontId="3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vertical="center"/>
    </xf>
    <xf numFmtId="44" fontId="4" fillId="13" borderId="7" xfId="1" applyFont="1" applyFill="1" applyBorder="1" applyAlignment="1">
      <alignment vertical="center"/>
    </xf>
    <xf numFmtId="9" fontId="4" fillId="13" borderId="7" xfId="0" applyNumberFormat="1" applyFont="1" applyFill="1" applyBorder="1" applyAlignment="1">
      <alignment vertical="center"/>
    </xf>
    <xf numFmtId="44" fontId="4" fillId="13" borderId="8" xfId="0" applyNumberFormat="1" applyFont="1" applyFill="1" applyBorder="1" applyAlignment="1">
      <alignment vertical="center"/>
    </xf>
    <xf numFmtId="0" fontId="3" fillId="12" borderId="2" xfId="0" applyFont="1" applyFill="1" applyBorder="1" applyAlignment="1">
      <alignment horizontal="center" vertical="center"/>
    </xf>
    <xf numFmtId="44" fontId="4" fillId="10" borderId="2" xfId="1" applyFont="1" applyFill="1" applyBorder="1" applyAlignment="1">
      <alignment horizontal="center" vertical="center"/>
    </xf>
    <xf numFmtId="44" fontId="6" fillId="12" borderId="2" xfId="1" applyFont="1" applyFill="1" applyBorder="1" applyAlignment="1">
      <alignment horizontal="center" vertical="center"/>
    </xf>
    <xf numFmtId="9" fontId="3" fillId="10" borderId="2" xfId="2" applyFont="1" applyFill="1" applyBorder="1" applyAlignment="1">
      <alignment horizontal="center" vertical="center"/>
    </xf>
    <xf numFmtId="44" fontId="7" fillId="12" borderId="2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 wrapText="1"/>
    </xf>
    <xf numFmtId="49" fontId="3" fillId="13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6" fillId="4" borderId="2" xfId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49" fontId="4" fillId="15" borderId="24" xfId="0" applyNumberFormat="1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9" fontId="4" fillId="15" borderId="4" xfId="0" applyNumberFormat="1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44" fontId="4" fillId="15" borderId="5" xfId="1" applyFont="1" applyFill="1" applyBorder="1" applyAlignment="1">
      <alignment horizontal="center" vertical="center" wrapText="1"/>
    </xf>
    <xf numFmtId="44" fontId="4" fillId="15" borderId="3" xfId="1" applyFont="1" applyFill="1" applyBorder="1" applyAlignment="1">
      <alignment horizontal="center" vertical="center" wrapText="1"/>
    </xf>
    <xf numFmtId="0" fontId="3" fillId="16" borderId="26" xfId="0" applyFont="1" applyFill="1" applyBorder="1" applyAlignment="1">
      <alignment horizontal="center" vertical="center"/>
    </xf>
    <xf numFmtId="0" fontId="3" fillId="16" borderId="27" xfId="0" applyFont="1" applyFill="1" applyBorder="1" applyAlignment="1">
      <alignment horizontal="center" vertical="center"/>
    </xf>
    <xf numFmtId="49" fontId="4" fillId="16" borderId="28" xfId="0" applyNumberFormat="1" applyFont="1" applyFill="1" applyBorder="1" applyAlignment="1">
      <alignment horizontal="center" vertical="center"/>
    </xf>
    <xf numFmtId="0" fontId="4" fillId="16" borderId="29" xfId="0" applyFont="1" applyFill="1" applyBorder="1" applyAlignment="1">
      <alignment horizontal="center" vertical="center"/>
    </xf>
    <xf numFmtId="0" fontId="4" fillId="16" borderId="26" xfId="0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center" vertical="center"/>
    </xf>
    <xf numFmtId="9" fontId="4" fillId="16" borderId="27" xfId="0" applyNumberFormat="1" applyFont="1" applyFill="1" applyBorder="1" applyAlignment="1">
      <alignment horizontal="center" vertical="center"/>
    </xf>
    <xf numFmtId="0" fontId="4" fillId="16" borderId="30" xfId="0" applyFont="1" applyFill="1" applyBorder="1" applyAlignment="1">
      <alignment horizontal="center" vertical="center"/>
    </xf>
    <xf numFmtId="44" fontId="4" fillId="16" borderId="30" xfId="1" applyFont="1" applyFill="1" applyBorder="1" applyAlignment="1">
      <alignment horizontal="center" vertical="center"/>
    </xf>
    <xf numFmtId="44" fontId="4" fillId="16" borderId="26" xfId="1" applyFont="1" applyFill="1" applyBorder="1" applyAlignment="1">
      <alignment horizontal="center" vertical="center"/>
    </xf>
    <xf numFmtId="44" fontId="4" fillId="16" borderId="30" xfId="1" applyFont="1" applyFill="1" applyBorder="1" applyAlignment="1">
      <alignment vertical="center"/>
    </xf>
    <xf numFmtId="0" fontId="4" fillId="16" borderId="26" xfId="0" applyFont="1" applyFill="1" applyBorder="1" applyAlignment="1">
      <alignment vertical="center"/>
    </xf>
    <xf numFmtId="164" fontId="5" fillId="13" borderId="30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9" fontId="3" fillId="0" borderId="27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4" fontId="6" fillId="2" borderId="31" xfId="3" applyNumberFormat="1" applyFont="1" applyBorder="1" applyAlignment="1">
      <alignment horizontal="center" vertical="center"/>
    </xf>
    <xf numFmtId="44" fontId="3" fillId="0" borderId="26" xfId="1" applyFont="1" applyBorder="1" applyAlignment="1">
      <alignment horizontal="center" vertical="center"/>
    </xf>
    <xf numFmtId="44" fontId="6" fillId="2" borderId="31" xfId="3" applyNumberFormat="1" applyFont="1" applyBorder="1" applyAlignment="1">
      <alignment vertical="center"/>
    </xf>
    <xf numFmtId="164" fontId="7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12" borderId="26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vertical="center" wrapText="1"/>
    </xf>
    <xf numFmtId="0" fontId="3" fillId="12" borderId="27" xfId="0" applyFont="1" applyFill="1" applyBorder="1" applyAlignment="1">
      <alignment horizontal="center" vertical="center"/>
    </xf>
    <xf numFmtId="9" fontId="3" fillId="12" borderId="27" xfId="0" applyNumberFormat="1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 wrapText="1"/>
    </xf>
    <xf numFmtId="0" fontId="3" fillId="17" borderId="33" xfId="0" applyFont="1" applyFill="1" applyBorder="1" applyAlignment="1">
      <alignment horizontal="center" vertical="center"/>
    </xf>
    <xf numFmtId="0" fontId="4" fillId="17" borderId="29" xfId="0" applyFont="1" applyFill="1" applyBorder="1" applyAlignment="1">
      <alignment vertical="center"/>
    </xf>
    <xf numFmtId="0" fontId="3" fillId="17" borderId="26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9" fontId="3" fillId="17" borderId="27" xfId="0" applyNumberFormat="1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horizontal="center" vertical="center"/>
    </xf>
    <xf numFmtId="0" fontId="3" fillId="17" borderId="27" xfId="0" applyFont="1" applyFill="1" applyBorder="1" applyAlignment="1">
      <alignment horizontal="center" vertical="center"/>
    </xf>
    <xf numFmtId="44" fontId="6" fillId="17" borderId="31" xfId="3" applyNumberFormat="1" applyFont="1" applyFill="1" applyBorder="1" applyAlignment="1">
      <alignment horizontal="center" vertical="center"/>
    </xf>
    <xf numFmtId="44" fontId="3" fillId="17" borderId="26" xfId="1" applyFont="1" applyFill="1" applyBorder="1" applyAlignment="1">
      <alignment horizontal="center" vertical="center"/>
    </xf>
    <xf numFmtId="44" fontId="6" fillId="17" borderId="31" xfId="3" applyNumberFormat="1" applyFont="1" applyFill="1" applyBorder="1" applyAlignment="1">
      <alignment vertical="center"/>
    </xf>
    <xf numFmtId="164" fontId="7" fillId="17" borderId="26" xfId="0" applyNumberFormat="1" applyFont="1" applyFill="1" applyBorder="1" applyAlignment="1">
      <alignment vertical="center"/>
    </xf>
    <xf numFmtId="0" fontId="3" fillId="17" borderId="30" xfId="0" applyFont="1" applyFill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13" borderId="24" xfId="0" applyNumberFormat="1" applyFont="1" applyFill="1" applyBorder="1" applyAlignment="1">
      <alignment horizontal="center" vertical="center"/>
    </xf>
    <xf numFmtId="0" fontId="3" fillId="13" borderId="25" xfId="0" applyFont="1" applyFill="1" applyBorder="1" applyAlignment="1">
      <alignment vertical="center"/>
    </xf>
    <xf numFmtId="0" fontId="3" fillId="13" borderId="3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vertical="center"/>
    </xf>
    <xf numFmtId="0" fontId="4" fillId="13" borderId="3" xfId="0" applyFont="1" applyFill="1" applyBorder="1" applyAlignment="1">
      <alignment vertical="center"/>
    </xf>
    <xf numFmtId="44" fontId="4" fillId="13" borderId="5" xfId="1" applyFont="1" applyFill="1" applyBorder="1" applyAlignment="1">
      <alignment vertical="center"/>
    </xf>
    <xf numFmtId="44" fontId="4" fillId="13" borderId="3" xfId="1" applyFont="1" applyFill="1" applyBorder="1" applyAlignment="1">
      <alignment vertical="center"/>
    </xf>
    <xf numFmtId="49" fontId="3" fillId="13" borderId="41" xfId="0" applyNumberFormat="1" applyFont="1" applyFill="1" applyBorder="1" applyAlignment="1">
      <alignment horizontal="center" vertical="center"/>
    </xf>
    <xf numFmtId="0" fontId="3" fillId="13" borderId="42" xfId="0" applyFont="1" applyFill="1" applyBorder="1" applyAlignment="1">
      <alignment vertical="center"/>
    </xf>
    <xf numFmtId="0" fontId="3" fillId="13" borderId="6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vertical="center"/>
    </xf>
    <xf numFmtId="0" fontId="4" fillId="13" borderId="6" xfId="0" applyFont="1" applyFill="1" applyBorder="1" applyAlignment="1">
      <alignment vertical="center"/>
    </xf>
    <xf numFmtId="44" fontId="4" fillId="13" borderId="8" xfId="1" applyFont="1" applyFill="1" applyBorder="1" applyAlignment="1">
      <alignment vertical="center"/>
    </xf>
    <xf numFmtId="44" fontId="4" fillId="13" borderId="6" xfId="1" applyFont="1" applyFill="1" applyBorder="1" applyAlignment="1">
      <alignment vertical="center"/>
    </xf>
    <xf numFmtId="9" fontId="4" fillId="13" borderId="6" xfId="0" applyNumberFormat="1" applyFont="1" applyFill="1" applyBorder="1" applyAlignment="1">
      <alignment vertical="center"/>
    </xf>
    <xf numFmtId="1" fontId="3" fillId="9" borderId="2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vertical="center" wrapText="1"/>
    </xf>
    <xf numFmtId="0" fontId="8" fillId="0" borderId="36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1" fontId="3" fillId="17" borderId="26" xfId="0" applyNumberFormat="1" applyFont="1" applyFill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12" borderId="26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16" borderId="26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17" borderId="33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12" borderId="46" xfId="0" applyFont="1" applyFill="1" applyBorder="1" applyAlignment="1">
      <alignment horizontal="center" vertical="center"/>
    </xf>
    <xf numFmtId="0" fontId="9" fillId="12" borderId="47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/>
    </xf>
    <xf numFmtId="14" fontId="4" fillId="4" borderId="2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4" fontId="4" fillId="0" borderId="17" xfId="1" applyFont="1" applyBorder="1" applyAlignment="1">
      <alignment horizontal="center" vertical="center"/>
    </xf>
    <xf numFmtId="44" fontId="4" fillId="0" borderId="23" xfId="1" applyFont="1" applyBorder="1" applyAlignment="1">
      <alignment horizontal="center" vertical="center"/>
    </xf>
    <xf numFmtId="44" fontId="4" fillId="0" borderId="15" xfId="1" applyFont="1" applyBorder="1" applyAlignment="1">
      <alignment horizontal="center" vertical="center"/>
    </xf>
    <xf numFmtId="44" fontId="4" fillId="0" borderId="21" xfId="1" applyFont="1" applyBorder="1" applyAlignment="1">
      <alignment horizontal="center" vertical="center"/>
    </xf>
    <xf numFmtId="14" fontId="4" fillId="4" borderId="16" xfId="1" applyNumberFormat="1" applyFont="1" applyFill="1" applyBorder="1" applyAlignment="1">
      <alignment horizontal="center" vertical="center"/>
    </xf>
    <xf numFmtId="14" fontId="4" fillId="4" borderId="22" xfId="1" applyNumberFormat="1" applyFont="1" applyFill="1" applyBorder="1" applyAlignment="1">
      <alignment horizontal="center" vertical="center"/>
    </xf>
    <xf numFmtId="44" fontId="4" fillId="0" borderId="17" xfId="0" applyNumberFormat="1" applyFont="1" applyBorder="1" applyAlignment="1">
      <alignment horizontal="center" vertical="center"/>
    </xf>
    <xf numFmtId="44" fontId="4" fillId="0" borderId="2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2" fontId="0" fillId="0" borderId="0" xfId="0" applyNumberFormat="1"/>
    <xf numFmtId="0" fontId="9" fillId="0" borderId="2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4" fillId="17" borderId="34" xfId="0" applyFont="1" applyFill="1" applyBorder="1" applyAlignment="1">
      <alignment vertical="center"/>
    </xf>
    <xf numFmtId="0" fontId="8" fillId="0" borderId="52" xfId="0" applyFont="1" applyBorder="1" applyAlignment="1">
      <alignment vertical="center" wrapText="1"/>
    </xf>
    <xf numFmtId="0" fontId="8" fillId="0" borderId="52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3" fillId="12" borderId="47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15" borderId="56" xfId="0" applyFont="1" applyFill="1" applyBorder="1" applyAlignment="1">
      <alignment horizontal="center" vertical="center"/>
    </xf>
    <xf numFmtId="0" fontId="4" fillId="16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4" fillId="12" borderId="34" xfId="0" applyFont="1" applyFill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13" borderId="56" xfId="0" applyFont="1" applyFill="1" applyBorder="1" applyAlignment="1">
      <alignment vertical="center"/>
    </xf>
    <xf numFmtId="0" fontId="3" fillId="13" borderId="18" xfId="0" applyFont="1" applyFill="1" applyBorder="1" applyAlignment="1">
      <alignment vertical="center"/>
    </xf>
    <xf numFmtId="2" fontId="8" fillId="17" borderId="37" xfId="0" applyNumberFormat="1" applyFont="1" applyFill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4.5"/>
  <cols>
    <col min="2" max="2" width="66.453125" bestFit="1" customWidth="1"/>
  </cols>
  <sheetData>
    <row r="1" spans="1:2">
      <c r="A1" t="s">
        <v>31</v>
      </c>
      <c r="B1" t="s">
        <v>10</v>
      </c>
    </row>
    <row r="2" spans="1:2">
      <c r="A2">
        <v>1</v>
      </c>
      <c r="B2" t="s">
        <v>93</v>
      </c>
    </row>
    <row r="3" spans="1:2">
      <c r="A3">
        <v>2</v>
      </c>
      <c r="B3" t="s">
        <v>92</v>
      </c>
    </row>
    <row r="4" spans="1:2">
      <c r="B4" t="s">
        <v>182</v>
      </c>
    </row>
    <row r="5" spans="1:2">
      <c r="B5" t="s">
        <v>183</v>
      </c>
    </row>
    <row r="6" spans="1:2">
      <c r="B6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60" zoomScaleNormal="60" workbookViewId="0">
      <pane ySplit="3" topLeftCell="A7" activePane="bottomLeft" state="frozen"/>
      <selection pane="bottomLeft" activeCell="M1" sqref="M1:M2"/>
    </sheetView>
  </sheetViews>
  <sheetFormatPr defaultColWidth="9.1796875" defaultRowHeight="14"/>
  <cols>
    <col min="1" max="1" width="4" style="1" bestFit="1" customWidth="1"/>
    <col min="2" max="2" width="10" style="2" bestFit="1" customWidth="1"/>
    <col min="3" max="3" width="21.7265625" style="66" bestFit="1" customWidth="1"/>
    <col min="4" max="4" width="93.1796875" style="1" bestFit="1" customWidth="1"/>
    <col min="5" max="5" width="9.1796875" style="2" customWidth="1"/>
    <col min="6" max="6" width="6.81640625" style="2" bestFit="1" customWidth="1"/>
    <col min="7" max="7" width="8" style="2" customWidth="1"/>
    <col min="8" max="8" width="12.453125" style="1" customWidth="1"/>
    <col min="9" max="9" width="12.54296875" style="1" customWidth="1"/>
    <col min="10" max="10" width="13.81640625" style="1" customWidth="1"/>
    <col min="11" max="11" width="13.453125" style="1" bestFit="1" customWidth="1"/>
    <col min="12" max="12" width="15.7265625" style="1" bestFit="1" customWidth="1"/>
    <col min="13" max="13" width="13.54296875" style="1" bestFit="1" customWidth="1"/>
    <col min="14" max="14" width="18.7265625" style="1" bestFit="1" customWidth="1"/>
    <col min="15" max="15" width="14.7265625" style="1" customWidth="1"/>
    <col min="16" max="16384" width="9.1796875" style="1"/>
  </cols>
  <sheetData>
    <row r="1" spans="1:15" ht="20.149999999999999" customHeight="1">
      <c r="A1" s="181" t="s">
        <v>0</v>
      </c>
      <c r="B1" s="181"/>
      <c r="C1" s="181"/>
      <c r="D1" s="70" t="s">
        <v>129</v>
      </c>
      <c r="E1" s="179" t="s">
        <v>1</v>
      </c>
      <c r="F1" s="179"/>
      <c r="G1" s="179">
        <v>0</v>
      </c>
      <c r="H1" s="179" t="s">
        <v>2</v>
      </c>
      <c r="I1" s="179">
        <v>0</v>
      </c>
      <c r="J1" s="179" t="s">
        <v>3</v>
      </c>
      <c r="K1" s="176" t="s">
        <v>85</v>
      </c>
      <c r="L1" s="177" t="s">
        <v>4</v>
      </c>
      <c r="M1" s="178">
        <v>45827</v>
      </c>
      <c r="N1" s="179" t="s">
        <v>5</v>
      </c>
      <c r="O1" s="180">
        <f>O31</f>
        <v>0</v>
      </c>
    </row>
    <row r="2" spans="1:15" ht="20.149999999999999" customHeight="1">
      <c r="A2" s="181" t="s">
        <v>6</v>
      </c>
      <c r="B2" s="181"/>
      <c r="C2" s="181"/>
      <c r="D2" s="70" t="s">
        <v>130</v>
      </c>
      <c r="E2" s="179"/>
      <c r="F2" s="179"/>
      <c r="G2" s="179"/>
      <c r="H2" s="179"/>
      <c r="I2" s="179"/>
      <c r="J2" s="179"/>
      <c r="K2" s="176"/>
      <c r="L2" s="177"/>
      <c r="M2" s="178"/>
      <c r="N2" s="179"/>
      <c r="O2" s="180"/>
    </row>
    <row r="3" spans="1:15" ht="28">
      <c r="A3" s="3" t="s">
        <v>7</v>
      </c>
      <c r="B3" s="3" t="s">
        <v>8</v>
      </c>
      <c r="C3" s="61" t="s">
        <v>9</v>
      </c>
      <c r="D3" s="3" t="s">
        <v>10</v>
      </c>
      <c r="E3" s="3" t="s">
        <v>11</v>
      </c>
      <c r="F3" s="3" t="s">
        <v>12</v>
      </c>
      <c r="G3" s="4" t="s">
        <v>13</v>
      </c>
      <c r="H3" s="5" t="s">
        <v>14</v>
      </c>
      <c r="I3" s="5" t="s">
        <v>84</v>
      </c>
      <c r="J3" s="5"/>
      <c r="K3" s="6" t="s">
        <v>15</v>
      </c>
      <c r="L3" s="6" t="s">
        <v>16</v>
      </c>
      <c r="M3" s="6" t="s">
        <v>17</v>
      </c>
      <c r="N3" s="3" t="s">
        <v>18</v>
      </c>
      <c r="O3" s="5" t="s">
        <v>19</v>
      </c>
    </row>
    <row r="4" spans="1:15">
      <c r="A4" s="7"/>
      <c r="B4" s="7"/>
      <c r="C4" s="62"/>
      <c r="D4" s="8" t="s">
        <v>20</v>
      </c>
      <c r="E4" s="8"/>
      <c r="F4" s="8"/>
      <c r="G4" s="9"/>
      <c r="H4" s="8"/>
      <c r="I4" s="8"/>
      <c r="J4" s="8"/>
      <c r="K4" s="10"/>
      <c r="L4" s="10"/>
      <c r="M4" s="11"/>
      <c r="N4" s="12"/>
      <c r="O4" s="13">
        <f>SUM(N6+N7+N8)</f>
        <v>0</v>
      </c>
    </row>
    <row r="5" spans="1:15" ht="20.149999999999999" customHeight="1">
      <c r="A5" s="14"/>
      <c r="B5" s="14"/>
      <c r="C5" s="63"/>
      <c r="D5" s="15" t="s">
        <v>21</v>
      </c>
      <c r="E5" s="14"/>
      <c r="F5" s="14"/>
      <c r="G5" s="16"/>
      <c r="H5" s="14"/>
      <c r="I5" s="14"/>
      <c r="J5" s="14"/>
      <c r="K5" s="17"/>
      <c r="L5" s="18"/>
      <c r="M5" s="19"/>
      <c r="N5" s="20"/>
      <c r="O5" s="21"/>
    </row>
    <row r="6" spans="1:15" ht="20.149999999999999" customHeight="1">
      <c r="A6" s="14">
        <f>IF(F6&lt;&gt;"",(COUNTA($F$6:$F6)),"")</f>
        <v>1</v>
      </c>
      <c r="B6" s="14"/>
      <c r="C6" s="63"/>
      <c r="D6" s="21" t="s">
        <v>22</v>
      </c>
      <c r="E6" s="14">
        <v>1</v>
      </c>
      <c r="F6" s="14" t="s">
        <v>23</v>
      </c>
      <c r="G6" s="16">
        <v>0</v>
      </c>
      <c r="H6" s="14">
        <f>ROUNDUP((E6*G6)+E6,0)</f>
        <v>1</v>
      </c>
      <c r="I6" s="14"/>
      <c r="J6" s="14"/>
      <c r="K6" s="22">
        <f>I6*J6</f>
        <v>0</v>
      </c>
      <c r="L6" s="18"/>
      <c r="M6" s="22">
        <f>H6*L6</f>
        <v>0</v>
      </c>
      <c r="N6" s="23">
        <f>M6*K6</f>
        <v>0</v>
      </c>
      <c r="O6" s="21"/>
    </row>
    <row r="7" spans="1:15" ht="20.149999999999999" customHeight="1">
      <c r="A7" s="14">
        <f>IF(F7&lt;&gt;"",(COUNTA($F$6:$F7)),"")</f>
        <v>2</v>
      </c>
      <c r="B7" s="14"/>
      <c r="C7" s="63"/>
      <c r="D7" s="21" t="s">
        <v>24</v>
      </c>
      <c r="E7" s="14">
        <v>1</v>
      </c>
      <c r="F7" s="14" t="s">
        <v>23</v>
      </c>
      <c r="G7" s="16">
        <v>0</v>
      </c>
      <c r="H7" s="14">
        <f>ROUNDUP((E7*G7)+E7,0)</f>
        <v>1</v>
      </c>
      <c r="I7" s="14"/>
      <c r="J7" s="14"/>
      <c r="K7" s="22">
        <f t="shared" ref="K7:K8" si="0">I7*J7</f>
        <v>0</v>
      </c>
      <c r="L7" s="18"/>
      <c r="M7" s="22">
        <f t="shared" ref="M7:M8" si="1">H7*L7</f>
        <v>0</v>
      </c>
      <c r="N7" s="23">
        <f t="shared" ref="N7:N8" si="2">M7*K7</f>
        <v>0</v>
      </c>
      <c r="O7" s="21"/>
    </row>
    <row r="8" spans="1:15" ht="20.149999999999999" customHeight="1">
      <c r="A8" s="14">
        <f>IF(F8&lt;&gt;"",(COUNTA($F$6:$F8)),"")</f>
        <v>3</v>
      </c>
      <c r="B8" s="14"/>
      <c r="C8" s="63"/>
      <c r="D8" s="21" t="s">
        <v>25</v>
      </c>
      <c r="E8" s="14">
        <v>1</v>
      </c>
      <c r="F8" s="14" t="s">
        <v>23</v>
      </c>
      <c r="G8" s="16">
        <v>0</v>
      </c>
      <c r="H8" s="14">
        <f t="shared" ref="H8" si="3">ROUNDUP((E8*G8)+E8,0)</f>
        <v>1</v>
      </c>
      <c r="I8" s="14"/>
      <c r="J8" s="14"/>
      <c r="K8" s="22">
        <f t="shared" si="0"/>
        <v>0</v>
      </c>
      <c r="L8" s="18"/>
      <c r="M8" s="22">
        <f t="shared" si="1"/>
        <v>0</v>
      </c>
      <c r="N8" s="23">
        <f t="shared" si="2"/>
        <v>0</v>
      </c>
      <c r="O8" s="21"/>
    </row>
    <row r="9" spans="1:15" s="35" customFormat="1" ht="20.149999999999999" customHeight="1">
      <c r="A9" s="24" t="str">
        <f>IF(F9&lt;&gt;"",(COUNTA($F$6:$F9)),"")</f>
        <v/>
      </c>
      <c r="B9" s="24"/>
      <c r="C9" s="62"/>
      <c r="D9" s="8" t="s">
        <v>85</v>
      </c>
      <c r="E9" s="8"/>
      <c r="F9" s="8"/>
      <c r="G9" s="9"/>
      <c r="H9" s="24"/>
      <c r="I9" s="8"/>
      <c r="J9" s="8"/>
      <c r="K9" s="10"/>
      <c r="L9" s="10"/>
      <c r="M9" s="25"/>
      <c r="N9" s="26"/>
      <c r="O9" s="36">
        <f>SUM(N11:N29)</f>
        <v>0</v>
      </c>
    </row>
    <row r="10" spans="1:15" ht="18.5" customHeight="1">
      <c r="A10" s="55" t="str">
        <f>IF(F10&lt;&gt;"",(COUNTA($F$6:$F10)),"")</f>
        <v/>
      </c>
      <c r="B10" s="55"/>
      <c r="C10" s="55"/>
      <c r="D10" s="27" t="s">
        <v>86</v>
      </c>
      <c r="E10" s="37"/>
      <c r="F10" s="37"/>
      <c r="G10" s="58"/>
      <c r="H10" s="55"/>
      <c r="I10" s="28"/>
      <c r="J10" s="28"/>
      <c r="K10" s="56"/>
      <c r="L10" s="56"/>
      <c r="M10" s="57"/>
      <c r="N10" s="59"/>
      <c r="O10" s="59"/>
    </row>
    <row r="11" spans="1:15">
      <c r="A11" s="14">
        <f>IF(F11&lt;&gt;"",(COUNTA($F$6:$F11)),"")</f>
        <v>4</v>
      </c>
      <c r="B11" s="170" t="s">
        <v>109</v>
      </c>
      <c r="C11" s="170" t="s">
        <v>110</v>
      </c>
      <c r="D11" s="68" t="s">
        <v>105</v>
      </c>
      <c r="E11" s="146">
        <f>1109340.39+2819.02</f>
        <v>1112159.4099999999</v>
      </c>
      <c r="F11" s="32" t="s">
        <v>28</v>
      </c>
      <c r="G11" s="33">
        <v>0.1</v>
      </c>
      <c r="H11" s="14">
        <f t="shared" ref="H11:H13" si="4">ROUNDUP((E11*G11)+E11,0)</f>
        <v>1223376</v>
      </c>
      <c r="I11" s="29"/>
      <c r="J11" s="29"/>
      <c r="K11" s="30">
        <f t="shared" ref="K11:K13" si="5">I11*J11</f>
        <v>0</v>
      </c>
      <c r="L11" s="30"/>
      <c r="M11" s="67">
        <f t="shared" ref="M11:M13" si="6">H11*L11</f>
        <v>0</v>
      </c>
      <c r="N11" s="34">
        <f t="shared" ref="N11:N13" si="7">M11*K11</f>
        <v>0</v>
      </c>
      <c r="O11" s="31"/>
    </row>
    <row r="12" spans="1:15">
      <c r="A12" s="14">
        <f>IF(F12&lt;&gt;"",(COUNTA($F$6:$F12)),"")</f>
        <v>5</v>
      </c>
      <c r="B12" s="171"/>
      <c r="C12" s="171"/>
      <c r="D12" s="68" t="s">
        <v>106</v>
      </c>
      <c r="E12" s="146">
        <f>1112159.41-((2215.1*4)+((364.4+350.41)*4))</f>
        <v>1100439.77</v>
      </c>
      <c r="F12" s="32" t="s">
        <v>28</v>
      </c>
      <c r="G12" s="33">
        <v>0.1</v>
      </c>
      <c r="H12" s="14">
        <f t="shared" ref="H12" si="8">ROUNDUP((E12*G12)+E12,0)</f>
        <v>1210484</v>
      </c>
      <c r="I12" s="29"/>
      <c r="J12" s="29"/>
      <c r="K12" s="30">
        <f t="shared" ref="K12" si="9">I12*J12</f>
        <v>0</v>
      </c>
      <c r="L12" s="30"/>
      <c r="M12" s="67">
        <f t="shared" ref="M12" si="10">H12*L12</f>
        <v>0</v>
      </c>
      <c r="N12" s="34">
        <f t="shared" ref="N12" si="11">M12*K12</f>
        <v>0</v>
      </c>
      <c r="O12" s="31"/>
    </row>
    <row r="13" spans="1:15">
      <c r="A13" s="14">
        <f>IF(F13&lt;&gt;"",(COUNTA($F$6:$F13)),"")</f>
        <v>6</v>
      </c>
      <c r="B13" s="171"/>
      <c r="C13" s="171"/>
      <c r="D13" s="68" t="s">
        <v>107</v>
      </c>
      <c r="E13" s="146">
        <f>((2215.1*4)+((364.4+350.41)*4))</f>
        <v>11719.64</v>
      </c>
      <c r="F13" s="32" t="s">
        <v>28</v>
      </c>
      <c r="G13" s="33">
        <v>0.1</v>
      </c>
      <c r="H13" s="14">
        <f t="shared" si="4"/>
        <v>12892</v>
      </c>
      <c r="I13" s="29"/>
      <c r="J13" s="29"/>
      <c r="K13" s="30">
        <f t="shared" si="5"/>
        <v>0</v>
      </c>
      <c r="L13" s="30"/>
      <c r="M13" s="67">
        <f t="shared" si="6"/>
        <v>0</v>
      </c>
      <c r="N13" s="34">
        <f t="shared" si="7"/>
        <v>0</v>
      </c>
      <c r="O13" s="31"/>
    </row>
    <row r="14" spans="1:15">
      <c r="A14" s="14">
        <f>IF(F14&lt;&gt;"",(COUNTA($F$6:$F14)),"")</f>
        <v>7</v>
      </c>
      <c r="B14" s="172"/>
      <c r="C14" s="172"/>
      <c r="D14" s="68" t="s">
        <v>108</v>
      </c>
      <c r="E14" s="146">
        <v>2819.02</v>
      </c>
      <c r="F14" s="32" t="s">
        <v>28</v>
      </c>
      <c r="G14" s="33">
        <v>0.1</v>
      </c>
      <c r="H14" s="14">
        <f t="shared" ref="H14" si="12">ROUNDUP((E14*G14)+E14,0)</f>
        <v>3101</v>
      </c>
      <c r="I14" s="29"/>
      <c r="J14" s="29"/>
      <c r="K14" s="30">
        <f t="shared" ref="K14" si="13">I14*J14</f>
        <v>0</v>
      </c>
      <c r="L14" s="30"/>
      <c r="M14" s="67">
        <f t="shared" ref="M14" si="14">H14*L14</f>
        <v>0</v>
      </c>
      <c r="N14" s="34">
        <f t="shared" ref="N14" si="15">M14*K14</f>
        <v>0</v>
      </c>
      <c r="O14" s="31"/>
    </row>
    <row r="15" spans="1:15" ht="18.5" customHeight="1">
      <c r="A15" s="55" t="str">
        <f>IF(F15&lt;&gt;"",(COUNTA($F$6:$F15)),"")</f>
        <v/>
      </c>
      <c r="B15" s="55"/>
      <c r="C15" s="55"/>
      <c r="D15" s="27" t="s">
        <v>87</v>
      </c>
      <c r="E15" s="37"/>
      <c r="F15" s="37"/>
      <c r="G15" s="58"/>
      <c r="H15" s="55"/>
      <c r="I15" s="28"/>
      <c r="J15" s="28"/>
      <c r="K15" s="56"/>
      <c r="L15" s="56"/>
      <c r="M15" s="57"/>
      <c r="N15" s="59"/>
      <c r="O15" s="59"/>
    </row>
    <row r="16" spans="1:15">
      <c r="A16" s="14">
        <f>IF(F16&lt;&gt;"",(COUNTA($F$6:$F16)),"")</f>
        <v>8</v>
      </c>
      <c r="B16" s="170" t="s">
        <v>109</v>
      </c>
      <c r="C16" s="173" t="s">
        <v>115</v>
      </c>
      <c r="D16" s="68" t="s">
        <v>111</v>
      </c>
      <c r="E16" s="146">
        <v>1808.78</v>
      </c>
      <c r="F16" s="32" t="s">
        <v>27</v>
      </c>
      <c r="G16" s="33">
        <v>0.1</v>
      </c>
      <c r="H16" s="14">
        <f t="shared" ref="H16:H21" si="16">ROUNDUP((E16*G16)+E16,0)</f>
        <v>1990</v>
      </c>
      <c r="I16" s="29"/>
      <c r="J16" s="29"/>
      <c r="K16" s="30">
        <f t="shared" ref="K16:K21" si="17">I16*J16</f>
        <v>0</v>
      </c>
      <c r="L16" s="30"/>
      <c r="M16" s="67">
        <f t="shared" ref="M16:M21" si="18">H16*L16</f>
        <v>0</v>
      </c>
      <c r="N16" s="34">
        <f t="shared" ref="N16:N21" si="19">M16*K16</f>
        <v>0</v>
      </c>
      <c r="O16" s="31"/>
    </row>
    <row r="17" spans="1:15">
      <c r="A17" s="14">
        <f>IF(F17&lt;&gt;"",(COUNTA($F$6:$F17)),"")</f>
        <v>9</v>
      </c>
      <c r="B17" s="171"/>
      <c r="C17" s="175"/>
      <c r="D17" s="68" t="s">
        <v>112</v>
      </c>
      <c r="E17" s="146">
        <f>1808.78*2</f>
        <v>3617.56</v>
      </c>
      <c r="F17" s="32" t="s">
        <v>27</v>
      </c>
      <c r="G17" s="33">
        <v>0.1</v>
      </c>
      <c r="H17" s="14">
        <f t="shared" si="16"/>
        <v>3980</v>
      </c>
      <c r="I17" s="29"/>
      <c r="J17" s="29"/>
      <c r="K17" s="30">
        <f t="shared" si="17"/>
        <v>0</v>
      </c>
      <c r="L17" s="30"/>
      <c r="M17" s="67">
        <f t="shared" si="18"/>
        <v>0</v>
      </c>
      <c r="N17" s="34">
        <f t="shared" si="19"/>
        <v>0</v>
      </c>
      <c r="O17" s="31"/>
    </row>
    <row r="18" spans="1:15">
      <c r="A18" s="14">
        <f>IF(F18&lt;&gt;"",(COUNTA($F$6:$F18)),"")</f>
        <v>10</v>
      </c>
      <c r="B18" s="171"/>
      <c r="C18" s="174"/>
      <c r="D18" s="68" t="s">
        <v>114</v>
      </c>
      <c r="E18" s="146">
        <v>1808.78</v>
      </c>
      <c r="F18" s="32" t="s">
        <v>27</v>
      </c>
      <c r="G18" s="33">
        <v>0.1</v>
      </c>
      <c r="H18" s="14">
        <f t="shared" si="16"/>
        <v>1990</v>
      </c>
      <c r="I18" s="29"/>
      <c r="J18" s="29"/>
      <c r="K18" s="30">
        <f t="shared" si="17"/>
        <v>0</v>
      </c>
      <c r="L18" s="30"/>
      <c r="M18" s="67">
        <f t="shared" si="18"/>
        <v>0</v>
      </c>
      <c r="N18" s="34">
        <f t="shared" si="19"/>
        <v>0</v>
      </c>
      <c r="O18" s="31"/>
    </row>
    <row r="19" spans="1:15">
      <c r="A19" s="14"/>
      <c r="B19" s="171"/>
      <c r="C19" s="173" t="s">
        <v>118</v>
      </c>
      <c r="D19" s="68" t="s">
        <v>116</v>
      </c>
      <c r="E19" s="146">
        <v>3673.9</v>
      </c>
      <c r="F19" s="32" t="s">
        <v>27</v>
      </c>
      <c r="G19" s="33">
        <v>0.1</v>
      </c>
      <c r="H19" s="14">
        <f t="shared" ref="H19:H20" si="20">ROUNDUP((E19*G19)+E19,0)</f>
        <v>4042</v>
      </c>
      <c r="I19" s="29"/>
      <c r="J19" s="29"/>
      <c r="K19" s="30">
        <f t="shared" ref="K19:K20" si="21">I19*J19</f>
        <v>0</v>
      </c>
      <c r="L19" s="30"/>
      <c r="M19" s="67">
        <f t="shared" ref="M19:M20" si="22">H19*L19</f>
        <v>0</v>
      </c>
      <c r="N19" s="34">
        <f t="shared" ref="N19:N20" si="23">M19*K19</f>
        <v>0</v>
      </c>
      <c r="O19" s="31"/>
    </row>
    <row r="20" spans="1:15">
      <c r="A20" s="14"/>
      <c r="B20" s="172"/>
      <c r="C20" s="174"/>
      <c r="D20" s="68" t="s">
        <v>117</v>
      </c>
      <c r="E20" s="146">
        <v>3673.9</v>
      </c>
      <c r="F20" s="32" t="s">
        <v>27</v>
      </c>
      <c r="G20" s="33">
        <v>0.1</v>
      </c>
      <c r="H20" s="14">
        <f t="shared" si="20"/>
        <v>4042</v>
      </c>
      <c r="I20" s="29"/>
      <c r="J20" s="29"/>
      <c r="K20" s="30">
        <f t="shared" si="21"/>
        <v>0</v>
      </c>
      <c r="L20" s="30"/>
      <c r="M20" s="67">
        <f t="shared" si="22"/>
        <v>0</v>
      </c>
      <c r="N20" s="34">
        <f t="shared" si="23"/>
        <v>0</v>
      </c>
      <c r="O20" s="31"/>
    </row>
    <row r="21" spans="1:15" ht="56">
      <c r="A21" s="14">
        <f>IF(F21&lt;&gt;"",(COUNTA($F$6:$F21)),"")</f>
        <v>13</v>
      </c>
      <c r="B21" s="60" t="s">
        <v>123</v>
      </c>
      <c r="C21" s="14" t="s">
        <v>115</v>
      </c>
      <c r="D21" s="68" t="s">
        <v>124</v>
      </c>
      <c r="E21" s="146">
        <v>7996.99</v>
      </c>
      <c r="F21" s="32" t="s">
        <v>28</v>
      </c>
      <c r="G21" s="33">
        <v>0.1</v>
      </c>
      <c r="H21" s="14">
        <f t="shared" si="16"/>
        <v>8797</v>
      </c>
      <c r="I21" s="29"/>
      <c r="J21" s="29"/>
      <c r="K21" s="30">
        <f t="shared" si="17"/>
        <v>0</v>
      </c>
      <c r="L21" s="30"/>
      <c r="M21" s="67">
        <f t="shared" si="18"/>
        <v>0</v>
      </c>
      <c r="N21" s="34">
        <f t="shared" si="19"/>
        <v>0</v>
      </c>
      <c r="O21" s="31"/>
    </row>
    <row r="22" spans="1:15" ht="18.5" customHeight="1">
      <c r="A22" s="55" t="str">
        <f>IF(F22&lt;&gt;"",(COUNTA($F$6:$F22)),"")</f>
        <v/>
      </c>
      <c r="B22" s="55"/>
      <c r="C22" s="55"/>
      <c r="D22" s="27" t="s">
        <v>88</v>
      </c>
      <c r="E22" s="37"/>
      <c r="F22" s="37"/>
      <c r="G22" s="58"/>
      <c r="H22" s="55"/>
      <c r="I22" s="28"/>
      <c r="J22" s="28"/>
      <c r="K22" s="56"/>
      <c r="L22" s="56"/>
      <c r="M22" s="57"/>
      <c r="N22" s="59"/>
      <c r="O22" s="59"/>
    </row>
    <row r="23" spans="1:15">
      <c r="A23" s="14">
        <f>IF(F23&lt;&gt;"",(COUNTA($F$6:$F23)),"")</f>
        <v>14</v>
      </c>
      <c r="B23" s="170" t="s">
        <v>109</v>
      </c>
      <c r="C23" s="14" t="s">
        <v>119</v>
      </c>
      <c r="D23" s="68" t="s">
        <v>120</v>
      </c>
      <c r="E23" s="32">
        <f>70*46</f>
        <v>3220</v>
      </c>
      <c r="F23" s="32" t="s">
        <v>27</v>
      </c>
      <c r="G23" s="33">
        <v>0.1</v>
      </c>
      <c r="H23" s="14">
        <f t="shared" ref="H23" si="24">ROUNDUP((E23*G23)+E23,0)</f>
        <v>3542</v>
      </c>
      <c r="I23" s="29"/>
      <c r="J23" s="29"/>
      <c r="K23" s="30">
        <f t="shared" ref="K23" si="25">I23*J23</f>
        <v>0</v>
      </c>
      <c r="L23" s="30"/>
      <c r="M23" s="67">
        <f t="shared" ref="M23" si="26">H23*L23</f>
        <v>0</v>
      </c>
      <c r="N23" s="34">
        <f t="shared" ref="N23" si="27">M23*K23</f>
        <v>0</v>
      </c>
      <c r="O23" s="31"/>
    </row>
    <row r="24" spans="1:15">
      <c r="A24" s="14">
        <f>IF(F24&lt;&gt;"",(COUNTA($F$6:$F24)),"")</f>
        <v>15</v>
      </c>
      <c r="B24" s="172"/>
      <c r="C24" s="14" t="s">
        <v>122</v>
      </c>
      <c r="D24" s="68" t="s">
        <v>121</v>
      </c>
      <c r="E24" s="32">
        <v>4</v>
      </c>
      <c r="F24" s="32" t="s">
        <v>26</v>
      </c>
      <c r="G24" s="33">
        <v>0.1</v>
      </c>
      <c r="H24" s="14">
        <f t="shared" ref="H24" si="28">ROUNDUP((E24*G24)+E24,0)</f>
        <v>5</v>
      </c>
      <c r="I24" s="29"/>
      <c r="J24" s="29"/>
      <c r="K24" s="30">
        <f t="shared" ref="K24" si="29">I24*J24</f>
        <v>0</v>
      </c>
      <c r="L24" s="30"/>
      <c r="M24" s="67">
        <f t="shared" ref="M24" si="30">H24*L24</f>
        <v>0</v>
      </c>
      <c r="N24" s="34">
        <f t="shared" ref="N24" si="31">M24*K24</f>
        <v>0</v>
      </c>
      <c r="O24" s="31"/>
    </row>
    <row r="25" spans="1:15" ht="18.5" customHeight="1">
      <c r="A25" s="55" t="str">
        <f>IF(F25&lt;&gt;"",(COUNTA($F$6:$F25)),"")</f>
        <v/>
      </c>
      <c r="B25" s="55"/>
      <c r="C25" s="55"/>
      <c r="D25" s="27" t="s">
        <v>125</v>
      </c>
      <c r="E25" s="37"/>
      <c r="F25" s="37"/>
      <c r="G25" s="58"/>
      <c r="H25" s="55"/>
      <c r="I25" s="28"/>
      <c r="J25" s="28"/>
      <c r="K25" s="56"/>
      <c r="L25" s="56"/>
      <c r="M25" s="57"/>
      <c r="N25" s="59"/>
      <c r="O25" s="59"/>
    </row>
    <row r="26" spans="1:15">
      <c r="A26" s="14">
        <f>IF(F26&lt;&gt;"",(COUNTA($F$6:$F26)),"")</f>
        <v>16</v>
      </c>
      <c r="B26" s="170" t="s">
        <v>109</v>
      </c>
      <c r="C26" s="170" t="s">
        <v>128</v>
      </c>
      <c r="D26" s="68" t="s">
        <v>126</v>
      </c>
      <c r="E26" s="32">
        <v>1</v>
      </c>
      <c r="F26" s="32" t="s">
        <v>26</v>
      </c>
      <c r="G26" s="33">
        <v>0.1</v>
      </c>
      <c r="H26" s="14">
        <f t="shared" ref="H26:H29" si="32">ROUNDUP((E26*G26)+E26,0)</f>
        <v>2</v>
      </c>
      <c r="I26" s="29"/>
      <c r="J26" s="29"/>
      <c r="K26" s="30">
        <f t="shared" ref="K26:K29" si="33">I26*J26</f>
        <v>0</v>
      </c>
      <c r="L26" s="30"/>
      <c r="M26" s="67">
        <f t="shared" ref="M26:M29" si="34">H26*L26</f>
        <v>0</v>
      </c>
      <c r="N26" s="34">
        <f t="shared" ref="N26:N29" si="35">M26*K26</f>
        <v>0</v>
      </c>
      <c r="O26" s="31"/>
    </row>
    <row r="27" spans="1:15">
      <c r="A27" s="14">
        <f>IF(F27&lt;&gt;"",(COUNTA($F$6:$F27)),"")</f>
        <v>17</v>
      </c>
      <c r="B27" s="171"/>
      <c r="C27" s="171"/>
      <c r="D27" s="68" t="s">
        <v>127</v>
      </c>
      <c r="E27" s="32">
        <v>16.18</v>
      </c>
      <c r="F27" s="32" t="s">
        <v>27</v>
      </c>
      <c r="G27" s="33">
        <v>0.1</v>
      </c>
      <c r="H27" s="14">
        <f t="shared" si="32"/>
        <v>18</v>
      </c>
      <c r="I27" s="29"/>
      <c r="J27" s="29"/>
      <c r="K27" s="30">
        <f t="shared" si="33"/>
        <v>0</v>
      </c>
      <c r="L27" s="30"/>
      <c r="M27" s="67">
        <f t="shared" si="34"/>
        <v>0</v>
      </c>
      <c r="N27" s="34">
        <f t="shared" si="35"/>
        <v>0</v>
      </c>
      <c r="O27" s="31"/>
    </row>
    <row r="28" spans="1:15">
      <c r="A28" s="14">
        <f>IF(F28&lt;&gt;"",(COUNTA($F$6:$F28)),"")</f>
        <v>18</v>
      </c>
      <c r="B28" s="171"/>
      <c r="C28" s="171"/>
      <c r="D28" s="68" t="s">
        <v>89</v>
      </c>
      <c r="E28" s="32">
        <v>16.18</v>
      </c>
      <c r="F28" s="32" t="s">
        <v>27</v>
      </c>
      <c r="G28" s="33">
        <v>0.1</v>
      </c>
      <c r="H28" s="14">
        <f t="shared" si="32"/>
        <v>18</v>
      </c>
      <c r="I28" s="29"/>
      <c r="J28" s="29"/>
      <c r="K28" s="30">
        <f t="shared" si="33"/>
        <v>0</v>
      </c>
      <c r="L28" s="30"/>
      <c r="M28" s="67">
        <f t="shared" si="34"/>
        <v>0</v>
      </c>
      <c r="N28" s="34">
        <f t="shared" si="35"/>
        <v>0</v>
      </c>
      <c r="O28" s="31"/>
    </row>
    <row r="29" spans="1:15">
      <c r="A29" s="14">
        <f>IF(F29&lt;&gt;"",(COUNTA($F$6:$F29)),"")</f>
        <v>19</v>
      </c>
      <c r="B29" s="172"/>
      <c r="C29" s="172"/>
      <c r="D29" s="68" t="s">
        <v>113</v>
      </c>
      <c r="E29" s="32">
        <v>16.18</v>
      </c>
      <c r="F29" s="32" t="s">
        <v>27</v>
      </c>
      <c r="G29" s="33">
        <v>0.1</v>
      </c>
      <c r="H29" s="14">
        <f t="shared" si="32"/>
        <v>18</v>
      </c>
      <c r="I29" s="29"/>
      <c r="J29" s="29"/>
      <c r="K29" s="30">
        <f t="shared" si="33"/>
        <v>0</v>
      </c>
      <c r="L29" s="30"/>
      <c r="M29" s="67">
        <f t="shared" si="34"/>
        <v>0</v>
      </c>
      <c r="N29" s="34">
        <f t="shared" si="35"/>
        <v>0</v>
      </c>
      <c r="O29" s="31"/>
    </row>
    <row r="30" spans="1:15" ht="20.149999999999999" customHeight="1">
      <c r="A30" s="38"/>
      <c r="B30" s="39"/>
      <c r="C30" s="64"/>
      <c r="D30" s="40"/>
      <c r="E30" s="41"/>
      <c r="F30" s="41"/>
      <c r="G30" s="42"/>
      <c r="H30" s="43"/>
      <c r="I30" s="43"/>
      <c r="J30" s="43"/>
      <c r="K30" s="44"/>
      <c r="L30" s="44"/>
      <c r="M30" s="44" t="s">
        <v>29</v>
      </c>
      <c r="N30" s="43"/>
      <c r="O30" s="45">
        <f>SUM(O4:O29)</f>
        <v>0</v>
      </c>
    </row>
    <row r="31" spans="1:15" ht="20.149999999999999" customHeight="1" thickBot="1">
      <c r="A31" s="46"/>
      <c r="B31" s="47"/>
      <c r="C31" s="65"/>
      <c r="D31" s="48"/>
      <c r="E31" s="49"/>
      <c r="F31" s="49"/>
      <c r="G31" s="50"/>
      <c r="H31" s="51"/>
      <c r="I31" s="51"/>
      <c r="J31" s="51"/>
      <c r="K31" s="52"/>
      <c r="L31" s="52"/>
      <c r="M31" s="52" t="s">
        <v>30</v>
      </c>
      <c r="N31" s="53"/>
      <c r="O31" s="54">
        <f>SUM(O30:O30)</f>
        <v>0</v>
      </c>
    </row>
  </sheetData>
  <mergeCells count="20">
    <mergeCell ref="I1:I2"/>
    <mergeCell ref="J1:J2"/>
    <mergeCell ref="A2:C2"/>
    <mergeCell ref="A1:C1"/>
    <mergeCell ref="E1:F2"/>
    <mergeCell ref="G1:G2"/>
    <mergeCell ref="H1:H2"/>
    <mergeCell ref="K1:K2"/>
    <mergeCell ref="L1:L2"/>
    <mergeCell ref="M1:M2"/>
    <mergeCell ref="N1:N2"/>
    <mergeCell ref="O1:O2"/>
    <mergeCell ref="B26:B29"/>
    <mergeCell ref="C26:C29"/>
    <mergeCell ref="C19:C20"/>
    <mergeCell ref="C11:C14"/>
    <mergeCell ref="B11:B14"/>
    <mergeCell ref="C16:C18"/>
    <mergeCell ref="B16:B20"/>
    <mergeCell ref="B23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50" zoomScaleNormal="50" workbookViewId="0">
      <pane ySplit="3" topLeftCell="A4" activePane="bottomLeft" state="frozen"/>
      <selection pane="bottomLeft" activeCell="E16" sqref="E16"/>
    </sheetView>
  </sheetViews>
  <sheetFormatPr defaultColWidth="9.1796875" defaultRowHeight="14"/>
  <cols>
    <col min="1" max="1" width="4" style="1" bestFit="1" customWidth="1"/>
    <col min="2" max="2" width="7.26953125" style="2" bestFit="1" customWidth="1"/>
    <col min="3" max="3" width="19.90625" style="66" bestFit="1" customWidth="1"/>
    <col min="4" max="4" width="93.1796875" style="1" bestFit="1" customWidth="1"/>
    <col min="5" max="5" width="9.1796875" style="2" customWidth="1"/>
    <col min="6" max="6" width="6.81640625" style="2" bestFit="1" customWidth="1"/>
    <col min="7" max="7" width="8" style="2" customWidth="1"/>
    <col min="8" max="8" width="12.453125" style="1" customWidth="1"/>
    <col min="9" max="9" width="12.54296875" style="1" customWidth="1"/>
    <col min="10" max="10" width="13.81640625" style="1" customWidth="1"/>
    <col min="11" max="11" width="13.453125" style="1" bestFit="1" customWidth="1"/>
    <col min="12" max="12" width="15.7265625" style="1" bestFit="1" customWidth="1"/>
    <col min="13" max="13" width="13.54296875" style="1" bestFit="1" customWidth="1"/>
    <col min="14" max="14" width="18.7265625" style="1" bestFit="1" customWidth="1"/>
    <col min="15" max="15" width="14.7265625" style="1" customWidth="1"/>
    <col min="16" max="16384" width="9.1796875" style="1"/>
  </cols>
  <sheetData>
    <row r="1" spans="1:15" ht="20.149999999999999" customHeight="1">
      <c r="A1" s="181" t="s">
        <v>0</v>
      </c>
      <c r="B1" s="181"/>
      <c r="C1" s="181"/>
      <c r="D1" s="72" t="s">
        <v>129</v>
      </c>
      <c r="E1" s="179" t="s">
        <v>1</v>
      </c>
      <c r="F1" s="179"/>
      <c r="G1" s="179">
        <v>0</v>
      </c>
      <c r="H1" s="179" t="s">
        <v>2</v>
      </c>
      <c r="I1" s="179">
        <v>0</v>
      </c>
      <c r="J1" s="179" t="s">
        <v>3</v>
      </c>
      <c r="K1" s="176" t="s">
        <v>83</v>
      </c>
      <c r="L1" s="177" t="s">
        <v>4</v>
      </c>
      <c r="M1" s="178">
        <v>45827</v>
      </c>
      <c r="N1" s="179" t="s">
        <v>5</v>
      </c>
      <c r="O1" s="180">
        <f>O18</f>
        <v>0</v>
      </c>
    </row>
    <row r="2" spans="1:15" ht="20.149999999999999" customHeight="1">
      <c r="A2" s="181" t="s">
        <v>6</v>
      </c>
      <c r="B2" s="181"/>
      <c r="C2" s="181"/>
      <c r="D2" s="72" t="s">
        <v>130</v>
      </c>
      <c r="E2" s="179"/>
      <c r="F2" s="179"/>
      <c r="G2" s="179"/>
      <c r="H2" s="179"/>
      <c r="I2" s="179"/>
      <c r="J2" s="179"/>
      <c r="K2" s="176"/>
      <c r="L2" s="177"/>
      <c r="M2" s="178"/>
      <c r="N2" s="179"/>
      <c r="O2" s="180"/>
    </row>
    <row r="3" spans="1:15" ht="28">
      <c r="A3" s="3" t="s">
        <v>7</v>
      </c>
      <c r="B3" s="3" t="s">
        <v>8</v>
      </c>
      <c r="C3" s="61" t="s">
        <v>9</v>
      </c>
      <c r="D3" s="3" t="s">
        <v>10</v>
      </c>
      <c r="E3" s="3" t="s">
        <v>11</v>
      </c>
      <c r="F3" s="3" t="s">
        <v>12</v>
      </c>
      <c r="G3" s="4" t="s">
        <v>13</v>
      </c>
      <c r="H3" s="5" t="s">
        <v>14</v>
      </c>
      <c r="I3" s="5" t="s">
        <v>84</v>
      </c>
      <c r="J3" s="5"/>
      <c r="K3" s="6" t="s">
        <v>15</v>
      </c>
      <c r="L3" s="6" t="s">
        <v>16</v>
      </c>
      <c r="M3" s="6" t="s">
        <v>17</v>
      </c>
      <c r="N3" s="3" t="s">
        <v>18</v>
      </c>
      <c r="O3" s="5" t="s">
        <v>19</v>
      </c>
    </row>
    <row r="4" spans="1:15">
      <c r="A4" s="7"/>
      <c r="B4" s="7"/>
      <c r="C4" s="62"/>
      <c r="D4" s="8" t="s">
        <v>20</v>
      </c>
      <c r="E4" s="8"/>
      <c r="F4" s="8"/>
      <c r="G4" s="9"/>
      <c r="H4" s="8"/>
      <c r="I4" s="8"/>
      <c r="J4" s="8"/>
      <c r="K4" s="10"/>
      <c r="L4" s="10"/>
      <c r="M4" s="11"/>
      <c r="N4" s="12"/>
      <c r="O4" s="13">
        <f>SUM(N6+N7+N8)</f>
        <v>0</v>
      </c>
    </row>
    <row r="5" spans="1:15" ht="20.149999999999999" customHeight="1">
      <c r="A5" s="14"/>
      <c r="B5" s="14"/>
      <c r="C5" s="63"/>
      <c r="D5" s="15" t="s">
        <v>21</v>
      </c>
      <c r="E5" s="14"/>
      <c r="F5" s="14"/>
      <c r="G5" s="16"/>
      <c r="H5" s="14"/>
      <c r="I5" s="14"/>
      <c r="J5" s="14"/>
      <c r="K5" s="17"/>
      <c r="L5" s="18"/>
      <c r="M5" s="19"/>
      <c r="N5" s="20"/>
      <c r="O5" s="21"/>
    </row>
    <row r="6" spans="1:15" ht="20.149999999999999" customHeight="1">
      <c r="A6" s="14">
        <f>IF(F6&lt;&gt;"",(COUNTA($F$6:$F6)),"")</f>
        <v>1</v>
      </c>
      <c r="B6" s="14"/>
      <c r="C6" s="63"/>
      <c r="D6" s="21" t="s">
        <v>22</v>
      </c>
      <c r="E6" s="14">
        <v>1</v>
      </c>
      <c r="F6" s="14" t="s">
        <v>23</v>
      </c>
      <c r="G6" s="16">
        <v>0</v>
      </c>
      <c r="H6" s="14">
        <f>ROUNDUP((E6*G6)+E6,0)</f>
        <v>1</v>
      </c>
      <c r="I6" s="14"/>
      <c r="J6" s="14"/>
      <c r="K6" s="22">
        <f>I6*J6</f>
        <v>0</v>
      </c>
      <c r="L6" s="18"/>
      <c r="M6" s="22">
        <f>H6*L6</f>
        <v>0</v>
      </c>
      <c r="N6" s="23">
        <f>M6*K6</f>
        <v>0</v>
      </c>
      <c r="O6" s="21"/>
    </row>
    <row r="7" spans="1:15" ht="20.149999999999999" customHeight="1">
      <c r="A7" s="14">
        <f>IF(F7&lt;&gt;"",(COUNTA($F$6:$F7)),"")</f>
        <v>2</v>
      </c>
      <c r="B7" s="14"/>
      <c r="C7" s="63"/>
      <c r="D7" s="21" t="s">
        <v>24</v>
      </c>
      <c r="E7" s="14">
        <v>1</v>
      </c>
      <c r="F7" s="14" t="s">
        <v>23</v>
      </c>
      <c r="G7" s="16">
        <v>0</v>
      </c>
      <c r="H7" s="14">
        <f>ROUNDUP((E7*G7)+E7,0)</f>
        <v>1</v>
      </c>
      <c r="I7" s="14"/>
      <c r="J7" s="14"/>
      <c r="K7" s="22">
        <f t="shared" ref="K7:K8" si="0">I7*J7</f>
        <v>0</v>
      </c>
      <c r="L7" s="18"/>
      <c r="M7" s="22">
        <f t="shared" ref="M7:M8" si="1">H7*L7</f>
        <v>0</v>
      </c>
      <c r="N7" s="23">
        <f t="shared" ref="N7:N8" si="2">M7*K7</f>
        <v>0</v>
      </c>
      <c r="O7" s="21"/>
    </row>
    <row r="8" spans="1:15" ht="20.149999999999999" customHeight="1">
      <c r="A8" s="14">
        <f>IF(F8&lt;&gt;"",(COUNTA($F$6:$F8)),"")</f>
        <v>3</v>
      </c>
      <c r="B8" s="14"/>
      <c r="C8" s="63"/>
      <c r="D8" s="21" t="s">
        <v>25</v>
      </c>
      <c r="E8" s="14">
        <v>1</v>
      </c>
      <c r="F8" s="14" t="s">
        <v>23</v>
      </c>
      <c r="G8" s="16">
        <v>0</v>
      </c>
      <c r="H8" s="14">
        <f t="shared" ref="H8" si="3">ROUNDUP((E8*G8)+E8,0)</f>
        <v>1</v>
      </c>
      <c r="I8" s="14"/>
      <c r="J8" s="14"/>
      <c r="K8" s="22">
        <f t="shared" si="0"/>
        <v>0</v>
      </c>
      <c r="L8" s="18"/>
      <c r="M8" s="22">
        <f t="shared" si="1"/>
        <v>0</v>
      </c>
      <c r="N8" s="23">
        <f t="shared" si="2"/>
        <v>0</v>
      </c>
      <c r="O8" s="21"/>
    </row>
    <row r="9" spans="1:15" s="35" customFormat="1" ht="20.149999999999999" customHeight="1">
      <c r="A9" s="24" t="str">
        <f>IF(F9&lt;&gt;"",(COUNTA($F$6:$F9)),"")</f>
        <v/>
      </c>
      <c r="B9" s="24"/>
      <c r="C9" s="62"/>
      <c r="D9" s="8" t="s">
        <v>83</v>
      </c>
      <c r="E9" s="8"/>
      <c r="F9" s="8"/>
      <c r="G9" s="9"/>
      <c r="H9" s="24"/>
      <c r="I9" s="8"/>
      <c r="J9" s="8"/>
      <c r="K9" s="10"/>
      <c r="L9" s="10"/>
      <c r="M9" s="25"/>
      <c r="N9" s="26"/>
      <c r="O9" s="36">
        <f>SUM(N11:N13)</f>
        <v>0</v>
      </c>
    </row>
    <row r="10" spans="1:15" ht="18.5" customHeight="1">
      <c r="A10" s="55" t="str">
        <f>IF(F10&lt;&gt;"",(COUNTA($F$6:$F10)),"")</f>
        <v/>
      </c>
      <c r="B10" s="55"/>
      <c r="C10" s="55"/>
      <c r="D10" s="27" t="s">
        <v>137</v>
      </c>
      <c r="E10" s="37"/>
      <c r="F10" s="37"/>
      <c r="G10" s="58"/>
      <c r="H10" s="55"/>
      <c r="I10" s="28"/>
      <c r="J10" s="28"/>
      <c r="K10" s="56"/>
      <c r="L10" s="56"/>
      <c r="M10" s="57"/>
      <c r="N10" s="59"/>
      <c r="O10" s="59"/>
    </row>
    <row r="11" spans="1:15" ht="56" customHeight="1">
      <c r="A11" s="14">
        <f>IF(F11&lt;&gt;"",(COUNTA($F$6:$F11)),"")</f>
        <v>4</v>
      </c>
      <c r="B11" s="173" t="s">
        <v>90</v>
      </c>
      <c r="C11" s="69" t="s">
        <v>131</v>
      </c>
      <c r="D11" s="68" t="s">
        <v>132</v>
      </c>
      <c r="E11" s="146">
        <v>176597.32</v>
      </c>
      <c r="F11" s="32" t="s">
        <v>28</v>
      </c>
      <c r="G11" s="33">
        <v>0.1</v>
      </c>
      <c r="H11" s="14">
        <f t="shared" ref="H11" si="4">ROUNDUP((E11*G11)+E11,0)</f>
        <v>194258</v>
      </c>
      <c r="I11" s="29"/>
      <c r="J11" s="29"/>
      <c r="K11" s="30">
        <f t="shared" ref="K11" si="5">I11*J11</f>
        <v>0</v>
      </c>
      <c r="L11" s="30"/>
      <c r="M11" s="67">
        <f t="shared" ref="M11" si="6">H11*L11</f>
        <v>0</v>
      </c>
      <c r="N11" s="34">
        <f t="shared" ref="N11" si="7">M11*K11</f>
        <v>0</v>
      </c>
      <c r="O11" s="31"/>
    </row>
    <row r="12" spans="1:15" ht="56" customHeight="1">
      <c r="A12" s="14">
        <f>IF(F12&lt;&gt;"",(COUNTA($F$6:$F12)),"")</f>
        <v>5</v>
      </c>
      <c r="B12" s="175"/>
      <c r="C12" s="71" t="s">
        <v>133</v>
      </c>
      <c r="D12" s="68" t="s">
        <v>134</v>
      </c>
      <c r="E12" s="146">
        <v>18084.36</v>
      </c>
      <c r="F12" s="32" t="s">
        <v>28</v>
      </c>
      <c r="G12" s="33">
        <v>0.1</v>
      </c>
      <c r="H12" s="14">
        <f t="shared" ref="H12:H13" si="8">ROUNDUP((E12*G12)+E12,0)</f>
        <v>19893</v>
      </c>
      <c r="I12" s="29"/>
      <c r="J12" s="29"/>
      <c r="K12" s="30">
        <f t="shared" ref="K12:K13" si="9">I12*J12</f>
        <v>0</v>
      </c>
      <c r="L12" s="30"/>
      <c r="M12" s="67">
        <f t="shared" ref="M12:M13" si="10">H12*L12</f>
        <v>0</v>
      </c>
      <c r="N12" s="34">
        <f t="shared" ref="N12:N13" si="11">M12*K12</f>
        <v>0</v>
      </c>
      <c r="O12" s="31"/>
    </row>
    <row r="13" spans="1:15" ht="56" customHeight="1">
      <c r="A13" s="14">
        <f>IF(F13&lt;&gt;"",(COUNTA($F$6:$F13)),"")</f>
        <v>6</v>
      </c>
      <c r="B13" s="175"/>
      <c r="C13" s="71" t="s">
        <v>135</v>
      </c>
      <c r="D13" s="68" t="s">
        <v>136</v>
      </c>
      <c r="E13" s="146">
        <v>38661.760000000002</v>
      </c>
      <c r="F13" s="32" t="s">
        <v>28</v>
      </c>
      <c r="G13" s="33">
        <v>0.1</v>
      </c>
      <c r="H13" s="14">
        <f t="shared" si="8"/>
        <v>42528</v>
      </c>
      <c r="I13" s="29"/>
      <c r="J13" s="29"/>
      <c r="K13" s="30">
        <f t="shared" si="9"/>
        <v>0</v>
      </c>
      <c r="L13" s="30"/>
      <c r="M13" s="67">
        <f t="shared" si="10"/>
        <v>0</v>
      </c>
      <c r="N13" s="34">
        <f t="shared" si="11"/>
        <v>0</v>
      </c>
      <c r="O13" s="31"/>
    </row>
    <row r="14" spans="1:15" ht="18.5" customHeight="1">
      <c r="A14" s="55" t="str">
        <f>IF(F14&lt;&gt;"",(COUNTA($F$6:$F14)),"")</f>
        <v/>
      </c>
      <c r="B14" s="55"/>
      <c r="C14" s="55"/>
      <c r="D14" s="27" t="s">
        <v>138</v>
      </c>
      <c r="E14" s="37"/>
      <c r="F14" s="37"/>
      <c r="G14" s="58"/>
      <c r="H14" s="55"/>
      <c r="I14" s="28"/>
      <c r="J14" s="28"/>
      <c r="K14" s="56"/>
      <c r="L14" s="56"/>
      <c r="M14" s="57"/>
      <c r="N14" s="59"/>
      <c r="O14" s="59"/>
    </row>
    <row r="15" spans="1:15" ht="56" customHeight="1">
      <c r="A15" s="14">
        <f>IF(F15&lt;&gt;"",(COUNTA($F$6:$F15)),"")</f>
        <v>7</v>
      </c>
      <c r="B15" s="173"/>
      <c r="C15" s="60" t="s">
        <v>139</v>
      </c>
      <c r="D15" s="68" t="s">
        <v>140</v>
      </c>
      <c r="E15" s="32">
        <v>36</v>
      </c>
      <c r="F15" s="32" t="s">
        <v>26</v>
      </c>
      <c r="G15" s="33">
        <v>0</v>
      </c>
      <c r="H15" s="14">
        <f t="shared" ref="H15:H16" si="12">ROUNDUP((E15*G15)+E15,0)</f>
        <v>36</v>
      </c>
      <c r="I15" s="29"/>
      <c r="J15" s="29"/>
      <c r="K15" s="30">
        <f t="shared" ref="K15:K16" si="13">I15*J15</f>
        <v>0</v>
      </c>
      <c r="L15" s="30"/>
      <c r="M15" s="67">
        <f t="shared" ref="M15:M16" si="14">H15*L15</f>
        <v>0</v>
      </c>
      <c r="N15" s="34">
        <f t="shared" ref="N15:N16" si="15">M15*K15</f>
        <v>0</v>
      </c>
      <c r="O15" s="31"/>
    </row>
    <row r="16" spans="1:15" ht="56" customHeight="1">
      <c r="A16" s="14"/>
      <c r="B16" s="175"/>
      <c r="C16" s="60" t="s">
        <v>141</v>
      </c>
      <c r="D16" s="68" t="s">
        <v>142</v>
      </c>
      <c r="E16" s="146">
        <f>982.25+(20*213)+(86*40)+(486*60)</f>
        <v>37842.25</v>
      </c>
      <c r="F16" s="32" t="s">
        <v>27</v>
      </c>
      <c r="G16" s="33">
        <v>0.1</v>
      </c>
      <c r="H16" s="14">
        <f t="shared" si="12"/>
        <v>41627</v>
      </c>
      <c r="I16" s="29"/>
      <c r="J16" s="29"/>
      <c r="K16" s="30">
        <f t="shared" si="13"/>
        <v>0</v>
      </c>
      <c r="L16" s="30"/>
      <c r="M16" s="67">
        <f t="shared" si="14"/>
        <v>0</v>
      </c>
      <c r="N16" s="34">
        <f t="shared" si="15"/>
        <v>0</v>
      </c>
      <c r="O16" s="31"/>
    </row>
    <row r="17" spans="1:15" ht="20.149999999999999" customHeight="1">
      <c r="A17" s="38"/>
      <c r="B17" s="39"/>
      <c r="C17" s="64"/>
      <c r="D17" s="40"/>
      <c r="E17" s="41"/>
      <c r="F17" s="41"/>
      <c r="G17" s="42"/>
      <c r="H17" s="43"/>
      <c r="I17" s="43"/>
      <c r="J17" s="43"/>
      <c r="K17" s="44"/>
      <c r="L17" s="44"/>
      <c r="M17" s="44" t="s">
        <v>29</v>
      </c>
      <c r="N17" s="43"/>
      <c r="O17" s="45">
        <f>SUM(O4:O16)</f>
        <v>0</v>
      </c>
    </row>
    <row r="18" spans="1:15" ht="20.149999999999999" customHeight="1" thickBot="1">
      <c r="A18" s="46"/>
      <c r="B18" s="47"/>
      <c r="C18" s="65"/>
      <c r="D18" s="48"/>
      <c r="E18" s="49"/>
      <c r="F18" s="49"/>
      <c r="G18" s="50"/>
      <c r="H18" s="51"/>
      <c r="I18" s="51"/>
      <c r="J18" s="51"/>
      <c r="K18" s="52"/>
      <c r="L18" s="52"/>
      <c r="M18" s="52" t="s">
        <v>30</v>
      </c>
      <c r="N18" s="53"/>
      <c r="O18" s="54">
        <f>SUM(O17:O17)</f>
        <v>0</v>
      </c>
    </row>
  </sheetData>
  <mergeCells count="14">
    <mergeCell ref="O1:O2"/>
    <mergeCell ref="A2:C2"/>
    <mergeCell ref="A1:C1"/>
    <mergeCell ref="E1:F2"/>
    <mergeCell ref="G1:G2"/>
    <mergeCell ref="H1:H2"/>
    <mergeCell ref="I1:I2"/>
    <mergeCell ref="J1:J2"/>
    <mergeCell ref="K1:K2"/>
    <mergeCell ref="B11:B13"/>
    <mergeCell ref="B15:B16"/>
    <mergeCell ref="L1:L2"/>
    <mergeCell ref="M1:M2"/>
    <mergeCell ref="N1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opLeftCell="A52" zoomScale="80" zoomScaleNormal="80" workbookViewId="0">
      <selection activeCell="G67" sqref="G67:G69"/>
    </sheetView>
  </sheetViews>
  <sheetFormatPr defaultRowHeight="14.5"/>
  <cols>
    <col min="1" max="1" width="4" bestFit="1" customWidth="1"/>
    <col min="2" max="2" width="6.81640625" bestFit="1" customWidth="1"/>
    <col min="3" max="3" width="10.90625" bestFit="1" customWidth="1"/>
    <col min="4" max="4" width="56" bestFit="1" customWidth="1"/>
    <col min="5" max="5" width="10.6328125" bestFit="1" customWidth="1"/>
    <col min="7" max="7" width="9.54296875" bestFit="1" customWidth="1"/>
    <col min="8" max="8" width="9.6328125" bestFit="1" customWidth="1"/>
    <col min="9" max="9" width="9.90625" bestFit="1" customWidth="1"/>
    <col min="10" max="10" width="9.1796875" bestFit="1" customWidth="1"/>
    <col min="11" max="11" width="14" bestFit="1" customWidth="1"/>
    <col min="12" max="12" width="11.36328125" bestFit="1" customWidth="1"/>
    <col min="13" max="13" width="11.81640625" bestFit="1" customWidth="1"/>
    <col min="14" max="14" width="16.7265625" bestFit="1" customWidth="1"/>
    <col min="15" max="15" width="10.08984375" bestFit="1" customWidth="1"/>
  </cols>
  <sheetData>
    <row r="1" spans="1:15" ht="15" thickBot="1"/>
    <row r="2" spans="1:15">
      <c r="A2" s="192" t="s">
        <v>0</v>
      </c>
      <c r="B2" s="193"/>
      <c r="C2" s="193"/>
      <c r="D2" s="153" t="s">
        <v>129</v>
      </c>
      <c r="E2" s="182" t="s">
        <v>1</v>
      </c>
      <c r="F2" s="184"/>
      <c r="G2" s="184">
        <v>0</v>
      </c>
      <c r="H2" s="194" t="s">
        <v>2</v>
      </c>
      <c r="I2" s="182">
        <v>0</v>
      </c>
      <c r="J2" s="184" t="s">
        <v>3</v>
      </c>
      <c r="K2" s="196" t="s">
        <v>146</v>
      </c>
      <c r="L2" s="198" t="s">
        <v>4</v>
      </c>
      <c r="M2" s="200">
        <v>45827</v>
      </c>
      <c r="N2" s="182" t="s">
        <v>5</v>
      </c>
      <c r="O2" s="202">
        <f>O71</f>
        <v>0</v>
      </c>
    </row>
    <row r="3" spans="1:15" ht="15" thickBot="1">
      <c r="A3" s="190" t="s">
        <v>6</v>
      </c>
      <c r="B3" s="191"/>
      <c r="C3" s="191"/>
      <c r="D3" s="154" t="s">
        <v>130</v>
      </c>
      <c r="E3" s="183"/>
      <c r="F3" s="185"/>
      <c r="G3" s="185"/>
      <c r="H3" s="195"/>
      <c r="I3" s="183"/>
      <c r="J3" s="185"/>
      <c r="K3" s="197"/>
      <c r="L3" s="199"/>
      <c r="M3" s="201"/>
      <c r="N3" s="183"/>
      <c r="O3" s="203"/>
    </row>
    <row r="4" spans="1:15" ht="28">
      <c r="A4" s="73" t="s">
        <v>7</v>
      </c>
      <c r="B4" s="74" t="s">
        <v>8</v>
      </c>
      <c r="C4" s="75" t="s">
        <v>9</v>
      </c>
      <c r="D4" s="76" t="s">
        <v>10</v>
      </c>
      <c r="E4" s="73" t="s">
        <v>11</v>
      </c>
      <c r="F4" s="74" t="s">
        <v>12</v>
      </c>
      <c r="G4" s="77" t="s">
        <v>13</v>
      </c>
      <c r="H4" s="78" t="s">
        <v>14</v>
      </c>
      <c r="I4" s="79" t="s">
        <v>94</v>
      </c>
      <c r="J4" s="80" t="s">
        <v>95</v>
      </c>
      <c r="K4" s="81" t="s">
        <v>15</v>
      </c>
      <c r="L4" s="82" t="s">
        <v>16</v>
      </c>
      <c r="M4" s="81" t="s">
        <v>17</v>
      </c>
      <c r="N4" s="73" t="s">
        <v>18</v>
      </c>
      <c r="O4" s="78" t="s">
        <v>19</v>
      </c>
    </row>
    <row r="5" spans="1:15">
      <c r="A5" s="83"/>
      <c r="B5" s="84"/>
      <c r="C5" s="85"/>
      <c r="D5" s="86" t="s">
        <v>20</v>
      </c>
      <c r="E5" s="87"/>
      <c r="F5" s="88"/>
      <c r="G5" s="89"/>
      <c r="H5" s="90"/>
      <c r="I5" s="87"/>
      <c r="J5" s="88"/>
      <c r="K5" s="91"/>
      <c r="L5" s="92"/>
      <c r="M5" s="93"/>
      <c r="N5" s="94"/>
      <c r="O5" s="95">
        <f>SUM(N6:N9)</f>
        <v>0</v>
      </c>
    </row>
    <row r="6" spans="1:15">
      <c r="A6" s="96"/>
      <c r="B6" s="97"/>
      <c r="C6" s="98"/>
      <c r="D6" s="99" t="s">
        <v>21</v>
      </c>
      <c r="E6" s="96"/>
      <c r="F6" s="97"/>
      <c r="G6" s="100"/>
      <c r="H6" s="101"/>
      <c r="I6" s="96"/>
      <c r="J6" s="97"/>
      <c r="K6" s="102"/>
      <c r="L6" s="103"/>
      <c r="M6" s="104"/>
      <c r="N6" s="105"/>
      <c r="O6" s="106"/>
    </row>
    <row r="7" spans="1:15">
      <c r="A7" s="157">
        <f>IF(F7&lt;&gt;"",(COUNTA($F$6:$F7)),"")</f>
        <v>1</v>
      </c>
      <c r="B7" s="97"/>
      <c r="C7" s="98"/>
      <c r="D7" s="107" t="s">
        <v>22</v>
      </c>
      <c r="E7" s="96">
        <v>1</v>
      </c>
      <c r="F7" s="97" t="s">
        <v>23</v>
      </c>
      <c r="G7" s="100">
        <v>0</v>
      </c>
      <c r="H7" s="101">
        <f t="shared" ref="H7:H9" si="0">ROUNDUP((E7*G7)+E7,0)</f>
        <v>1</v>
      </c>
      <c r="I7" s="96"/>
      <c r="J7" s="97"/>
      <c r="K7" s="102">
        <f>I7*J7</f>
        <v>0</v>
      </c>
      <c r="L7" s="103"/>
      <c r="M7" s="104">
        <f>H7*L7</f>
        <v>0</v>
      </c>
      <c r="N7" s="105">
        <f>M7+K7</f>
        <v>0</v>
      </c>
      <c r="O7" s="106"/>
    </row>
    <row r="8" spans="1:15">
      <c r="A8" s="157">
        <f>IF(F8&lt;&gt;"",(COUNTA($F$6:$F8)),"")</f>
        <v>2</v>
      </c>
      <c r="B8" s="97"/>
      <c r="C8" s="98"/>
      <c r="D8" s="107" t="s">
        <v>96</v>
      </c>
      <c r="E8" s="96">
        <v>1</v>
      </c>
      <c r="F8" s="97" t="s">
        <v>23</v>
      </c>
      <c r="G8" s="100">
        <v>0</v>
      </c>
      <c r="H8" s="101">
        <f t="shared" si="0"/>
        <v>1</v>
      </c>
      <c r="I8" s="96"/>
      <c r="J8" s="97"/>
      <c r="K8" s="102">
        <f t="shared" ref="K8:K9" si="1">I8*J8</f>
        <v>0</v>
      </c>
      <c r="L8" s="103"/>
      <c r="M8" s="104">
        <f t="shared" ref="M8:M9" si="2">H8*L8</f>
        <v>0</v>
      </c>
      <c r="N8" s="105">
        <f t="shared" ref="N8:N9" si="3">M8+K8</f>
        <v>0</v>
      </c>
      <c r="O8" s="106"/>
    </row>
    <row r="9" spans="1:15">
      <c r="A9" s="157">
        <f>IF(F9&lt;&gt;"",(COUNTA($F$6:$F9)),"")</f>
        <v>3</v>
      </c>
      <c r="B9" s="97"/>
      <c r="C9" s="98"/>
      <c r="D9" s="107" t="s">
        <v>25</v>
      </c>
      <c r="E9" s="96">
        <v>1</v>
      </c>
      <c r="F9" s="97" t="s">
        <v>23</v>
      </c>
      <c r="G9" s="100">
        <v>0</v>
      </c>
      <c r="H9" s="101">
        <f t="shared" si="0"/>
        <v>1</v>
      </c>
      <c r="I9" s="96"/>
      <c r="J9" s="97"/>
      <c r="K9" s="102">
        <f t="shared" si="1"/>
        <v>0</v>
      </c>
      <c r="L9" s="103"/>
      <c r="M9" s="104">
        <f t="shared" si="2"/>
        <v>0</v>
      </c>
      <c r="N9" s="105">
        <f t="shared" si="3"/>
        <v>0</v>
      </c>
      <c r="O9" s="106"/>
    </row>
    <row r="10" spans="1:15">
      <c r="A10" s="158"/>
      <c r="B10" s="84"/>
      <c r="C10" s="85"/>
      <c r="D10" s="86" t="s">
        <v>104</v>
      </c>
      <c r="E10" s="87"/>
      <c r="F10" s="88"/>
      <c r="G10" s="89"/>
      <c r="H10" s="90"/>
      <c r="I10" s="87"/>
      <c r="J10" s="88"/>
      <c r="K10" s="91"/>
      <c r="L10" s="92"/>
      <c r="M10" s="93"/>
      <c r="N10" s="94"/>
      <c r="O10" s="95">
        <f>SUM(N11:N69)</f>
        <v>0</v>
      </c>
    </row>
    <row r="11" spans="1:15">
      <c r="A11" s="159" t="str">
        <f>IF(F11&lt;&gt;"",(COUNTA($F$6:$F11)),"")</f>
        <v/>
      </c>
      <c r="B11" s="109"/>
      <c r="C11" s="110"/>
      <c r="D11" s="111" t="s">
        <v>151</v>
      </c>
      <c r="E11" s="108"/>
      <c r="F11" s="112"/>
      <c r="G11" s="113"/>
      <c r="H11" s="114"/>
      <c r="I11" s="108"/>
      <c r="J11" s="113"/>
      <c r="K11" s="114"/>
      <c r="L11" s="108"/>
      <c r="M11" s="114"/>
      <c r="N11" s="108"/>
      <c r="O11" s="114"/>
    </row>
    <row r="12" spans="1:15">
      <c r="A12" s="155"/>
      <c r="B12" s="115"/>
      <c r="C12" s="116"/>
      <c r="D12" s="117" t="s">
        <v>143</v>
      </c>
      <c r="E12" s="150">
        <f>1111078.28-E16</f>
        <v>1064202</v>
      </c>
      <c r="F12" s="119" t="s">
        <v>28</v>
      </c>
      <c r="G12" s="120"/>
      <c r="H12" s="121"/>
      <c r="I12" s="118"/>
      <c r="J12" s="122"/>
      <c r="K12" s="123"/>
      <c r="L12" s="124"/>
      <c r="M12" s="125"/>
      <c r="N12" s="126"/>
      <c r="O12" s="127"/>
    </row>
    <row r="13" spans="1:15">
      <c r="A13" s="160">
        <f>IF(F13&lt;&gt;"",(COUNTA($F$6:$F13)),"")</f>
        <v>5</v>
      </c>
      <c r="B13" s="204" t="s">
        <v>175</v>
      </c>
      <c r="C13" s="207" t="s">
        <v>91</v>
      </c>
      <c r="D13" s="147" t="s">
        <v>144</v>
      </c>
      <c r="E13" s="151">
        <f>27433.86-E17</f>
        <v>26276.420000000002</v>
      </c>
      <c r="F13" s="130" t="s">
        <v>97</v>
      </c>
      <c r="G13" s="100">
        <v>0.1</v>
      </c>
      <c r="H13" s="101">
        <f t="shared" ref="H13:H15" si="4">ROUNDUP((E13*G13)+E13,0)</f>
        <v>28905</v>
      </c>
      <c r="I13" s="96"/>
      <c r="J13" s="97"/>
      <c r="K13" s="102">
        <f t="shared" ref="K13:K15" si="5">I13*J13</f>
        <v>0</v>
      </c>
      <c r="L13" s="103"/>
      <c r="M13" s="104">
        <f t="shared" ref="M13:M15" si="6">H13*L13</f>
        <v>0</v>
      </c>
      <c r="N13" s="105">
        <f t="shared" ref="N13:N15" si="7">M13+K13</f>
        <v>0</v>
      </c>
      <c r="O13" s="106"/>
    </row>
    <row r="14" spans="1:15">
      <c r="A14" s="160">
        <f>IF(F14&lt;&gt;"",(COUNTA($F$6:$F14)),"")</f>
        <v>6</v>
      </c>
      <c r="B14" s="205"/>
      <c r="C14" s="208"/>
      <c r="D14" s="148" t="s">
        <v>145</v>
      </c>
      <c r="E14" s="151">
        <f>555.54-E19</f>
        <v>532.09999999999991</v>
      </c>
      <c r="F14" s="130" t="s">
        <v>100</v>
      </c>
      <c r="G14" s="100">
        <v>0.1</v>
      </c>
      <c r="H14" s="101">
        <f t="shared" si="4"/>
        <v>586</v>
      </c>
      <c r="I14" s="96"/>
      <c r="J14" s="97"/>
      <c r="K14" s="102">
        <f t="shared" si="5"/>
        <v>0</v>
      </c>
      <c r="L14" s="103"/>
      <c r="M14" s="104">
        <f t="shared" si="6"/>
        <v>0</v>
      </c>
      <c r="N14" s="105">
        <f t="shared" si="7"/>
        <v>0</v>
      </c>
      <c r="O14" s="106"/>
    </row>
    <row r="15" spans="1:15">
      <c r="A15" s="160">
        <f>IF(F15&lt;&gt;"",(COUNTA($F$6:$F15)),"")</f>
        <v>7</v>
      </c>
      <c r="B15" s="206"/>
      <c r="C15" s="209"/>
      <c r="D15" s="149" t="s">
        <v>149</v>
      </c>
      <c r="E15" s="151">
        <f>26062.17-E20</f>
        <v>24412.82</v>
      </c>
      <c r="F15" s="130" t="s">
        <v>99</v>
      </c>
      <c r="G15" s="100">
        <v>0.1</v>
      </c>
      <c r="H15" s="101">
        <f t="shared" si="4"/>
        <v>26855</v>
      </c>
      <c r="I15" s="96"/>
      <c r="J15" s="97"/>
      <c r="K15" s="102">
        <f t="shared" si="5"/>
        <v>0</v>
      </c>
      <c r="L15" s="103"/>
      <c r="M15" s="104">
        <f t="shared" si="6"/>
        <v>0</v>
      </c>
      <c r="N15" s="105">
        <f t="shared" si="7"/>
        <v>0</v>
      </c>
      <c r="O15" s="106"/>
    </row>
    <row r="16" spans="1:15">
      <c r="A16" s="155"/>
      <c r="B16" s="155"/>
      <c r="C16" s="161"/>
      <c r="D16" s="117" t="s">
        <v>147</v>
      </c>
      <c r="E16" s="150">
        <v>46876.28</v>
      </c>
      <c r="F16" s="119" t="s">
        <v>28</v>
      </c>
      <c r="G16" s="120"/>
      <c r="H16" s="121"/>
      <c r="I16" s="118"/>
      <c r="J16" s="122"/>
      <c r="K16" s="123"/>
      <c r="L16" s="124"/>
      <c r="M16" s="125"/>
      <c r="N16" s="126"/>
      <c r="O16" s="127"/>
    </row>
    <row r="17" spans="1:15">
      <c r="A17" s="160">
        <f>IF(F17&lt;&gt;"",(COUNTA($F$6:$F17)),"")</f>
        <v>9</v>
      </c>
      <c r="B17" s="204" t="s">
        <v>176</v>
      </c>
      <c r="C17" s="207" t="s">
        <v>91</v>
      </c>
      <c r="D17" s="147" t="s">
        <v>144</v>
      </c>
      <c r="E17" s="151">
        <v>1157.44</v>
      </c>
      <c r="F17" s="130" t="s">
        <v>97</v>
      </c>
      <c r="G17" s="100">
        <v>0.1</v>
      </c>
      <c r="H17" s="101">
        <f t="shared" ref="H17:H20" si="8">ROUNDUP((E17*G17)+E17,0)</f>
        <v>1274</v>
      </c>
      <c r="I17" s="96"/>
      <c r="J17" s="97"/>
      <c r="K17" s="102">
        <f t="shared" ref="K17:K20" si="9">I17*J17</f>
        <v>0</v>
      </c>
      <c r="L17" s="103"/>
      <c r="M17" s="104">
        <f t="shared" ref="M17:M20" si="10">H17*L17</f>
        <v>0</v>
      </c>
      <c r="N17" s="105">
        <f t="shared" ref="N17:N20" si="11">M17+K17</f>
        <v>0</v>
      </c>
      <c r="O17" s="106"/>
    </row>
    <row r="18" spans="1:15">
      <c r="A18" s="160">
        <f>IF(F18&lt;&gt;"",(COUNTA($F$6:$F18)),"")</f>
        <v>10</v>
      </c>
      <c r="B18" s="205"/>
      <c r="C18" s="208"/>
      <c r="D18" s="147" t="s">
        <v>103</v>
      </c>
      <c r="E18" s="151">
        <v>62626.71</v>
      </c>
      <c r="F18" s="130" t="s">
        <v>148</v>
      </c>
      <c r="G18" s="100">
        <v>0.1</v>
      </c>
      <c r="H18" s="101">
        <f t="shared" ref="H18" si="12">ROUNDUP((E18*G18)+E18,0)</f>
        <v>68890</v>
      </c>
      <c r="I18" s="96"/>
      <c r="J18" s="97"/>
      <c r="K18" s="102">
        <f t="shared" ref="K18" si="13">I18*J18</f>
        <v>0</v>
      </c>
      <c r="L18" s="103"/>
      <c r="M18" s="104">
        <f t="shared" ref="M18" si="14">H18*L18</f>
        <v>0</v>
      </c>
      <c r="N18" s="105">
        <f t="shared" ref="N18" si="15">M18+K18</f>
        <v>0</v>
      </c>
      <c r="O18" s="106"/>
    </row>
    <row r="19" spans="1:15">
      <c r="A19" s="160">
        <f>IF(F19&lt;&gt;"",(COUNTA($F$6:$F19)),"")</f>
        <v>11</v>
      </c>
      <c r="B19" s="205"/>
      <c r="C19" s="208"/>
      <c r="D19" s="148" t="s">
        <v>145</v>
      </c>
      <c r="E19" s="151">
        <v>23.44</v>
      </c>
      <c r="F19" s="130" t="s">
        <v>100</v>
      </c>
      <c r="G19" s="100">
        <v>0.1</v>
      </c>
      <c r="H19" s="101">
        <f t="shared" si="8"/>
        <v>26</v>
      </c>
      <c r="I19" s="96"/>
      <c r="J19" s="97"/>
      <c r="K19" s="102">
        <f t="shared" si="9"/>
        <v>0</v>
      </c>
      <c r="L19" s="103"/>
      <c r="M19" s="104">
        <f t="shared" si="10"/>
        <v>0</v>
      </c>
      <c r="N19" s="105">
        <f t="shared" si="11"/>
        <v>0</v>
      </c>
      <c r="O19" s="106"/>
    </row>
    <row r="20" spans="1:15">
      <c r="A20" s="160">
        <f>IF(F20&lt;&gt;"",(COUNTA($F$6:$F20)),"")</f>
        <v>12</v>
      </c>
      <c r="B20" s="206"/>
      <c r="C20" s="209"/>
      <c r="D20" s="149" t="s">
        <v>149</v>
      </c>
      <c r="E20" s="151">
        <v>1649.35</v>
      </c>
      <c r="F20" s="130" t="s">
        <v>99</v>
      </c>
      <c r="G20" s="100">
        <v>0.1</v>
      </c>
      <c r="H20" s="101">
        <f t="shared" si="8"/>
        <v>1815</v>
      </c>
      <c r="I20" s="96"/>
      <c r="J20" s="97"/>
      <c r="K20" s="102">
        <f t="shared" si="9"/>
        <v>0</v>
      </c>
      <c r="L20" s="103"/>
      <c r="M20" s="104">
        <f t="shared" si="10"/>
        <v>0</v>
      </c>
      <c r="N20" s="105">
        <f t="shared" si="11"/>
        <v>0</v>
      </c>
      <c r="O20" s="106"/>
    </row>
    <row r="21" spans="1:15">
      <c r="A21" s="155"/>
      <c r="B21" s="155"/>
      <c r="C21" s="161"/>
      <c r="D21" s="117" t="s">
        <v>150</v>
      </c>
      <c r="E21" s="150">
        <v>4230.05</v>
      </c>
      <c r="F21" s="119" t="s">
        <v>28</v>
      </c>
      <c r="G21" s="120"/>
      <c r="H21" s="121"/>
      <c r="I21" s="118"/>
      <c r="J21" s="122"/>
      <c r="K21" s="123"/>
      <c r="L21" s="124"/>
      <c r="M21" s="125"/>
      <c r="N21" s="126"/>
      <c r="O21" s="127"/>
    </row>
    <row r="22" spans="1:15" ht="22.5" customHeight="1">
      <c r="A22" s="160">
        <f>IF(F22&lt;&gt;"",(COUNTA($F$6:$F22)),"")</f>
        <v>14</v>
      </c>
      <c r="B22" s="204" t="s">
        <v>177</v>
      </c>
      <c r="C22" s="207" t="s">
        <v>91</v>
      </c>
      <c r="D22" s="147" t="s">
        <v>144</v>
      </c>
      <c r="E22" s="151">
        <v>78.33</v>
      </c>
      <c r="F22" s="130" t="s">
        <v>97</v>
      </c>
      <c r="G22" s="100">
        <v>0.1</v>
      </c>
      <c r="H22" s="101">
        <f t="shared" ref="H22:H23" si="16">ROUNDUP((E22*G22)+E22,0)</f>
        <v>87</v>
      </c>
      <c r="I22" s="96"/>
      <c r="J22" s="97"/>
      <c r="K22" s="102">
        <f t="shared" ref="K22:K23" si="17">I22*J22</f>
        <v>0</v>
      </c>
      <c r="L22" s="103"/>
      <c r="M22" s="104">
        <f t="shared" ref="M22:M23" si="18">H22*L22</f>
        <v>0</v>
      </c>
      <c r="N22" s="105">
        <f t="shared" ref="N22:N23" si="19">M22+K22</f>
        <v>0</v>
      </c>
      <c r="O22" s="106"/>
    </row>
    <row r="23" spans="1:15" ht="29" customHeight="1">
      <c r="A23" s="160">
        <f>IF(F23&lt;&gt;"",(COUNTA($F$6:$F23)),"")</f>
        <v>15</v>
      </c>
      <c r="B23" s="206"/>
      <c r="C23" s="209"/>
      <c r="D23" s="149" t="s">
        <v>149</v>
      </c>
      <c r="E23" s="151">
        <v>148.84</v>
      </c>
      <c r="F23" s="130" t="s">
        <v>99</v>
      </c>
      <c r="G23" s="100">
        <v>0.1</v>
      </c>
      <c r="H23" s="101">
        <f t="shared" si="16"/>
        <v>164</v>
      </c>
      <c r="I23" s="96"/>
      <c r="J23" s="97"/>
      <c r="K23" s="102">
        <f t="shared" si="17"/>
        <v>0</v>
      </c>
      <c r="L23" s="103"/>
      <c r="M23" s="104">
        <f t="shared" si="18"/>
        <v>0</v>
      </c>
      <c r="N23" s="105">
        <f t="shared" si="19"/>
        <v>0</v>
      </c>
      <c r="O23" s="106"/>
    </row>
    <row r="24" spans="1:15">
      <c r="A24" s="159" t="str">
        <f>IF(F24&lt;&gt;"",(COUNTA($F$6:$F24)),"")</f>
        <v/>
      </c>
      <c r="B24" s="156"/>
      <c r="C24" s="162"/>
      <c r="D24" s="111" t="s">
        <v>152</v>
      </c>
      <c r="E24" s="152"/>
      <c r="F24" s="112"/>
      <c r="G24" s="113"/>
      <c r="H24" s="114"/>
      <c r="I24" s="108"/>
      <c r="J24" s="113"/>
      <c r="K24" s="114"/>
      <c r="L24" s="108"/>
      <c r="M24" s="114"/>
      <c r="N24" s="108"/>
      <c r="O24" s="114"/>
    </row>
    <row r="25" spans="1:15">
      <c r="A25" s="160">
        <f>IF(F25&lt;&gt;"",(COUNTA($F$6:$F25)),"")</f>
        <v>16</v>
      </c>
      <c r="B25" s="186" t="s">
        <v>175</v>
      </c>
      <c r="C25" s="187" t="s">
        <v>178</v>
      </c>
      <c r="D25" s="117" t="s">
        <v>153</v>
      </c>
      <c r="E25" s="150">
        <v>8</v>
      </c>
      <c r="F25" s="119" t="s">
        <v>26</v>
      </c>
      <c r="G25" s="120"/>
      <c r="H25" s="121"/>
      <c r="I25" s="118"/>
      <c r="J25" s="122"/>
      <c r="K25" s="123"/>
      <c r="L25" s="124"/>
      <c r="M25" s="125"/>
      <c r="N25" s="126"/>
      <c r="O25" s="127"/>
    </row>
    <row r="26" spans="1:15">
      <c r="A26" s="160">
        <f>IF(F26&lt;&gt;"",(COUNTA($F$6:$F26)),"")</f>
        <v>17</v>
      </c>
      <c r="B26" s="186"/>
      <c r="C26" s="188"/>
      <c r="D26" s="147" t="s">
        <v>154</v>
      </c>
      <c r="E26" s="151">
        <v>7.41</v>
      </c>
      <c r="F26" s="130" t="s">
        <v>97</v>
      </c>
      <c r="G26" s="100">
        <v>0.1</v>
      </c>
      <c r="H26" s="101">
        <f t="shared" ref="H26:H27" si="20">ROUNDUP((E26*G26)+E26,0)</f>
        <v>9</v>
      </c>
      <c r="I26" s="96"/>
      <c r="J26" s="97"/>
      <c r="K26" s="102">
        <f t="shared" ref="K26:K27" si="21">I26*J26</f>
        <v>0</v>
      </c>
      <c r="L26" s="103"/>
      <c r="M26" s="104">
        <f t="shared" ref="M26:M27" si="22">H26*L26</f>
        <v>0</v>
      </c>
      <c r="N26" s="105">
        <f t="shared" ref="N26:N27" si="23">M26+K26</f>
        <v>0</v>
      </c>
      <c r="O26" s="106"/>
    </row>
    <row r="27" spans="1:15">
      <c r="A27" s="160">
        <f>IF(F27&lt;&gt;"",(COUNTA($F$6:$F27)),"")</f>
        <v>18</v>
      </c>
      <c r="B27" s="186"/>
      <c r="C27" s="188"/>
      <c r="D27" s="147" t="s">
        <v>101</v>
      </c>
      <c r="E27" s="151">
        <v>271.18</v>
      </c>
      <c r="F27" s="130" t="s">
        <v>98</v>
      </c>
      <c r="G27" s="100">
        <v>0.1</v>
      </c>
      <c r="H27" s="101">
        <f t="shared" si="20"/>
        <v>299</v>
      </c>
      <c r="I27" s="96"/>
      <c r="J27" s="97"/>
      <c r="K27" s="102">
        <f t="shared" si="21"/>
        <v>0</v>
      </c>
      <c r="L27" s="103"/>
      <c r="M27" s="104">
        <f t="shared" si="22"/>
        <v>0</v>
      </c>
      <c r="N27" s="105">
        <f t="shared" si="23"/>
        <v>0</v>
      </c>
      <c r="O27" s="106"/>
    </row>
    <row r="28" spans="1:15">
      <c r="A28" s="160">
        <f>IF(F28&lt;&gt;"",(COUNTA($F$6:$F28)),"")</f>
        <v>19</v>
      </c>
      <c r="B28" s="186"/>
      <c r="C28" s="188"/>
      <c r="D28" s="117" t="s">
        <v>155</v>
      </c>
      <c r="E28" s="150">
        <v>4</v>
      </c>
      <c r="F28" s="119" t="s">
        <v>26</v>
      </c>
      <c r="G28" s="120"/>
      <c r="H28" s="121"/>
      <c r="I28" s="118"/>
      <c r="J28" s="122"/>
      <c r="K28" s="123"/>
      <c r="L28" s="124"/>
      <c r="M28" s="125"/>
      <c r="N28" s="126"/>
      <c r="O28" s="127"/>
    </row>
    <row r="29" spans="1:15">
      <c r="A29" s="160">
        <f>IF(F29&lt;&gt;"",(COUNTA($F$6:$F29)),"")</f>
        <v>20</v>
      </c>
      <c r="B29" s="186"/>
      <c r="C29" s="188"/>
      <c r="D29" s="147" t="s">
        <v>154</v>
      </c>
      <c r="E29" s="151">
        <v>4.4800000000000004</v>
      </c>
      <c r="F29" s="130" t="s">
        <v>97</v>
      </c>
      <c r="G29" s="100">
        <v>0.1</v>
      </c>
      <c r="H29" s="101">
        <f t="shared" ref="H29:H30" si="24">ROUNDUP((E29*G29)+E29,0)</f>
        <v>5</v>
      </c>
      <c r="I29" s="96"/>
      <c r="J29" s="97"/>
      <c r="K29" s="102">
        <f t="shared" ref="K29:K30" si="25">I29*J29</f>
        <v>0</v>
      </c>
      <c r="L29" s="103"/>
      <c r="M29" s="104">
        <f t="shared" ref="M29:M30" si="26">H29*L29</f>
        <v>0</v>
      </c>
      <c r="N29" s="105">
        <f t="shared" ref="N29:N30" si="27">M29+K29</f>
        <v>0</v>
      </c>
      <c r="O29" s="106"/>
    </row>
    <row r="30" spans="1:15">
      <c r="A30" s="160">
        <f>IF(F30&lt;&gt;"",(COUNTA($F$6:$F30)),"")</f>
        <v>21</v>
      </c>
      <c r="B30" s="186"/>
      <c r="C30" s="188"/>
      <c r="D30" s="147" t="s">
        <v>101</v>
      </c>
      <c r="E30" s="151">
        <v>150.19</v>
      </c>
      <c r="F30" s="130" t="s">
        <v>98</v>
      </c>
      <c r="G30" s="100">
        <v>0.1</v>
      </c>
      <c r="H30" s="101">
        <f t="shared" si="24"/>
        <v>166</v>
      </c>
      <c r="I30" s="96"/>
      <c r="J30" s="97"/>
      <c r="K30" s="102">
        <f t="shared" si="25"/>
        <v>0</v>
      </c>
      <c r="L30" s="103"/>
      <c r="M30" s="104">
        <f t="shared" si="26"/>
        <v>0</v>
      </c>
      <c r="N30" s="105">
        <f t="shared" si="27"/>
        <v>0</v>
      </c>
      <c r="O30" s="106"/>
    </row>
    <row r="31" spans="1:15">
      <c r="A31" s="160">
        <f>IF(F31&lt;&gt;"",(COUNTA($F$6:$F31)),"")</f>
        <v>22</v>
      </c>
      <c r="B31" s="186"/>
      <c r="C31" s="188"/>
      <c r="D31" s="117" t="s">
        <v>156</v>
      </c>
      <c r="E31" s="150">
        <v>16</v>
      </c>
      <c r="F31" s="119" t="s">
        <v>26</v>
      </c>
      <c r="G31" s="120"/>
      <c r="H31" s="121"/>
      <c r="I31" s="118"/>
      <c r="J31" s="122"/>
      <c r="K31" s="123"/>
      <c r="L31" s="124"/>
      <c r="M31" s="125"/>
      <c r="N31" s="126"/>
      <c r="O31" s="127"/>
    </row>
    <row r="32" spans="1:15">
      <c r="A32" s="160">
        <f>IF(F32&lt;&gt;"",(COUNTA($F$6:$F32)),"")</f>
        <v>23</v>
      </c>
      <c r="B32" s="186"/>
      <c r="C32" s="188"/>
      <c r="D32" s="147" t="s">
        <v>154</v>
      </c>
      <c r="E32" s="151">
        <v>84</v>
      </c>
      <c r="F32" s="130" t="s">
        <v>97</v>
      </c>
      <c r="G32" s="100">
        <v>0.1</v>
      </c>
      <c r="H32" s="101">
        <f t="shared" ref="H32:H33" si="28">ROUNDUP((E32*G32)+E32,0)</f>
        <v>93</v>
      </c>
      <c r="I32" s="96"/>
      <c r="J32" s="97"/>
      <c r="K32" s="102">
        <f t="shared" ref="K32:K33" si="29">I32*J32</f>
        <v>0</v>
      </c>
      <c r="L32" s="103"/>
      <c r="M32" s="104">
        <f t="shared" ref="M32:M33" si="30">H32*L32</f>
        <v>0</v>
      </c>
      <c r="N32" s="105">
        <f t="shared" ref="N32:N33" si="31">M32+K32</f>
        <v>0</v>
      </c>
      <c r="O32" s="106"/>
    </row>
    <row r="33" spans="1:15">
      <c r="A33" s="160">
        <f>IF(F33&lt;&gt;"",(COUNTA($F$6:$F33)),"")</f>
        <v>24</v>
      </c>
      <c r="B33" s="186"/>
      <c r="C33" s="188"/>
      <c r="D33" s="147" t="s">
        <v>157</v>
      </c>
      <c r="E33" s="151">
        <v>2283.04</v>
      </c>
      <c r="F33" s="130" t="s">
        <v>98</v>
      </c>
      <c r="G33" s="100">
        <v>0.1</v>
      </c>
      <c r="H33" s="101">
        <f t="shared" si="28"/>
        <v>2512</v>
      </c>
      <c r="I33" s="96"/>
      <c r="J33" s="97"/>
      <c r="K33" s="102">
        <f t="shared" si="29"/>
        <v>0</v>
      </c>
      <c r="L33" s="103"/>
      <c r="M33" s="104">
        <f t="shared" si="30"/>
        <v>0</v>
      </c>
      <c r="N33" s="105">
        <f t="shared" si="31"/>
        <v>0</v>
      </c>
      <c r="O33" s="106"/>
    </row>
    <row r="34" spans="1:15">
      <c r="A34" s="160">
        <f>IF(F34&lt;&gt;"",(COUNTA($F$6:$F34)),"")</f>
        <v>25</v>
      </c>
      <c r="B34" s="186"/>
      <c r="C34" s="188"/>
      <c r="D34" s="117" t="s">
        <v>158</v>
      </c>
      <c r="E34" s="150">
        <v>236</v>
      </c>
      <c r="F34" s="119" t="s">
        <v>26</v>
      </c>
      <c r="G34" s="120"/>
      <c r="H34" s="121"/>
      <c r="I34" s="118"/>
      <c r="J34" s="122"/>
      <c r="K34" s="123"/>
      <c r="L34" s="124"/>
      <c r="M34" s="125"/>
      <c r="N34" s="126"/>
      <c r="O34" s="127"/>
    </row>
    <row r="35" spans="1:15">
      <c r="A35" s="160">
        <f>IF(F35&lt;&gt;"",(COUNTA($F$6:$F35)),"")</f>
        <v>26</v>
      </c>
      <c r="B35" s="186"/>
      <c r="C35" s="188"/>
      <c r="D35" s="147" t="s">
        <v>154</v>
      </c>
      <c r="E35" s="151">
        <v>1577.7</v>
      </c>
      <c r="F35" s="130" t="s">
        <v>97</v>
      </c>
      <c r="G35" s="100">
        <v>0.1</v>
      </c>
      <c r="H35" s="101">
        <f t="shared" ref="H35:H36" si="32">ROUNDUP((E35*G35)+E35,0)</f>
        <v>1736</v>
      </c>
      <c r="I35" s="96"/>
      <c r="J35" s="97"/>
      <c r="K35" s="102">
        <f t="shared" ref="K35:K36" si="33">I35*J35</f>
        <v>0</v>
      </c>
      <c r="L35" s="103"/>
      <c r="M35" s="104">
        <f t="shared" ref="M35:M36" si="34">H35*L35</f>
        <v>0</v>
      </c>
      <c r="N35" s="105">
        <f t="shared" ref="N35:N36" si="35">M35+K35</f>
        <v>0</v>
      </c>
      <c r="O35" s="106"/>
    </row>
    <row r="36" spans="1:15">
      <c r="A36" s="160">
        <f>IF(F36&lt;&gt;"",(COUNTA($F$6:$F36)),"")</f>
        <v>27</v>
      </c>
      <c r="B36" s="186"/>
      <c r="C36" s="188"/>
      <c r="D36" s="147" t="s">
        <v>159</v>
      </c>
      <c r="E36" s="151">
        <v>43414.559999999998</v>
      </c>
      <c r="F36" s="130" t="s">
        <v>98</v>
      </c>
      <c r="G36" s="100">
        <v>0.1</v>
      </c>
      <c r="H36" s="101">
        <f t="shared" si="32"/>
        <v>47757</v>
      </c>
      <c r="I36" s="96"/>
      <c r="J36" s="97"/>
      <c r="K36" s="102">
        <f t="shared" si="33"/>
        <v>0</v>
      </c>
      <c r="L36" s="103"/>
      <c r="M36" s="104">
        <f t="shared" si="34"/>
        <v>0</v>
      </c>
      <c r="N36" s="105">
        <f t="shared" si="35"/>
        <v>0</v>
      </c>
      <c r="O36" s="106"/>
    </row>
    <row r="37" spans="1:15">
      <c r="A37" s="160">
        <f>IF(F37&lt;&gt;"",(COUNTA($F$6:$F37)),"")</f>
        <v>28</v>
      </c>
      <c r="B37" s="186"/>
      <c r="C37" s="188"/>
      <c r="D37" s="117" t="s">
        <v>160</v>
      </c>
      <c r="E37" s="150">
        <v>63</v>
      </c>
      <c r="F37" s="119" t="s">
        <v>26</v>
      </c>
      <c r="G37" s="120"/>
      <c r="H37" s="121"/>
      <c r="I37" s="118"/>
      <c r="J37" s="122"/>
      <c r="K37" s="123"/>
      <c r="L37" s="124"/>
      <c r="M37" s="125"/>
      <c r="N37" s="126"/>
      <c r="O37" s="127"/>
    </row>
    <row r="38" spans="1:15">
      <c r="A38" s="160">
        <f>IF(F38&lt;&gt;"",(COUNTA($F$6:$F38)),"")</f>
        <v>29</v>
      </c>
      <c r="B38" s="186"/>
      <c r="C38" s="188"/>
      <c r="D38" s="147" t="s">
        <v>154</v>
      </c>
      <c r="E38" s="151">
        <v>466.67</v>
      </c>
      <c r="F38" s="130" t="s">
        <v>97</v>
      </c>
      <c r="G38" s="100">
        <v>0.1</v>
      </c>
      <c r="H38" s="101">
        <f t="shared" ref="H38:H39" si="36">ROUNDUP((E38*G38)+E38,0)</f>
        <v>514</v>
      </c>
      <c r="I38" s="96"/>
      <c r="J38" s="97"/>
      <c r="K38" s="102">
        <f t="shared" ref="K38:K39" si="37">I38*J38</f>
        <v>0</v>
      </c>
      <c r="L38" s="103"/>
      <c r="M38" s="104">
        <f t="shared" ref="M38:M39" si="38">H38*L38</f>
        <v>0</v>
      </c>
      <c r="N38" s="105">
        <f t="shared" ref="N38:N39" si="39">M38+K38</f>
        <v>0</v>
      </c>
      <c r="O38" s="106"/>
    </row>
    <row r="39" spans="1:15">
      <c r="A39" s="160">
        <f>IF(F39&lt;&gt;"",(COUNTA($F$6:$F39)),"")</f>
        <v>30</v>
      </c>
      <c r="B39" s="186"/>
      <c r="C39" s="188"/>
      <c r="D39" s="147" t="s">
        <v>157</v>
      </c>
      <c r="E39" s="151">
        <v>8327.09</v>
      </c>
      <c r="F39" s="130" t="s">
        <v>98</v>
      </c>
      <c r="G39" s="100">
        <v>0.1</v>
      </c>
      <c r="H39" s="101">
        <f t="shared" si="36"/>
        <v>9160</v>
      </c>
      <c r="I39" s="96"/>
      <c r="J39" s="97"/>
      <c r="K39" s="102">
        <f t="shared" si="37"/>
        <v>0</v>
      </c>
      <c r="L39" s="103"/>
      <c r="M39" s="104">
        <f t="shared" si="38"/>
        <v>0</v>
      </c>
      <c r="N39" s="105">
        <f t="shared" si="39"/>
        <v>0</v>
      </c>
      <c r="O39" s="106"/>
    </row>
    <row r="40" spans="1:15">
      <c r="A40" s="160">
        <f>IF(F40&lt;&gt;"",(COUNTA($F$6:$F40)),"")</f>
        <v>31</v>
      </c>
      <c r="B40" s="186"/>
      <c r="C40" s="188"/>
      <c r="D40" s="117" t="s">
        <v>161</v>
      </c>
      <c r="E40" s="150">
        <v>6</v>
      </c>
      <c r="F40" s="119" t="s">
        <v>26</v>
      </c>
      <c r="G40" s="120"/>
      <c r="H40" s="121"/>
      <c r="I40" s="118"/>
      <c r="J40" s="122"/>
      <c r="K40" s="123"/>
      <c r="L40" s="124"/>
      <c r="M40" s="125"/>
      <c r="N40" s="126"/>
      <c r="O40" s="127"/>
    </row>
    <row r="41" spans="1:15">
      <c r="A41" s="160">
        <f>IF(F41&lt;&gt;"",(COUNTA($F$6:$F41)),"")</f>
        <v>32</v>
      </c>
      <c r="B41" s="186"/>
      <c r="C41" s="188"/>
      <c r="D41" s="147" t="s">
        <v>154</v>
      </c>
      <c r="E41" s="151">
        <v>44.08</v>
      </c>
      <c r="F41" s="130" t="s">
        <v>97</v>
      </c>
      <c r="G41" s="100">
        <v>0.1</v>
      </c>
      <c r="H41" s="101">
        <f t="shared" ref="H41:H42" si="40">ROUNDUP((E41*G41)+E41,0)</f>
        <v>49</v>
      </c>
      <c r="I41" s="96"/>
      <c r="J41" s="97"/>
      <c r="K41" s="102">
        <f t="shared" ref="K41:K42" si="41">I41*J41</f>
        <v>0</v>
      </c>
      <c r="L41" s="103"/>
      <c r="M41" s="104">
        <f t="shared" ref="M41:M42" si="42">H41*L41</f>
        <v>0</v>
      </c>
      <c r="N41" s="105">
        <f t="shared" ref="N41:N42" si="43">M41+K41</f>
        <v>0</v>
      </c>
      <c r="O41" s="106"/>
    </row>
    <row r="42" spans="1:15">
      <c r="A42" s="160">
        <f>IF(F42&lt;&gt;"",(COUNTA($F$6:$F42)),"")</f>
        <v>33</v>
      </c>
      <c r="B42" s="186"/>
      <c r="C42" s="188"/>
      <c r="D42" s="147" t="s">
        <v>157</v>
      </c>
      <c r="E42" s="151">
        <v>1189.58</v>
      </c>
      <c r="F42" s="130" t="s">
        <v>98</v>
      </c>
      <c r="G42" s="100">
        <v>0.1</v>
      </c>
      <c r="H42" s="101">
        <f t="shared" si="40"/>
        <v>1309</v>
      </c>
      <c r="I42" s="96"/>
      <c r="J42" s="97"/>
      <c r="K42" s="102">
        <f t="shared" si="41"/>
        <v>0</v>
      </c>
      <c r="L42" s="103"/>
      <c r="M42" s="104">
        <f t="shared" si="42"/>
        <v>0</v>
      </c>
      <c r="N42" s="105">
        <f t="shared" si="43"/>
        <v>0</v>
      </c>
      <c r="O42" s="106"/>
    </row>
    <row r="43" spans="1:15">
      <c r="A43" s="160">
        <f>IF(F43&lt;&gt;"",(COUNTA($F$6:$F43)),"")</f>
        <v>34</v>
      </c>
      <c r="B43" s="186"/>
      <c r="C43" s="188"/>
      <c r="D43" s="117" t="s">
        <v>162</v>
      </c>
      <c r="E43" s="150">
        <v>18</v>
      </c>
      <c r="F43" s="119" t="s">
        <v>26</v>
      </c>
      <c r="G43" s="120"/>
      <c r="H43" s="121"/>
      <c r="I43" s="118"/>
      <c r="J43" s="122"/>
      <c r="K43" s="123"/>
      <c r="L43" s="124"/>
      <c r="M43" s="125"/>
      <c r="N43" s="126"/>
      <c r="O43" s="127"/>
    </row>
    <row r="44" spans="1:15">
      <c r="A44" s="160">
        <f>IF(F44&lt;&gt;"",(COUNTA($F$6:$F44)),"")</f>
        <v>35</v>
      </c>
      <c r="B44" s="186"/>
      <c r="C44" s="188"/>
      <c r="D44" s="147" t="s">
        <v>154</v>
      </c>
      <c r="E44" s="151">
        <v>208.33</v>
      </c>
      <c r="F44" s="130" t="s">
        <v>97</v>
      </c>
      <c r="G44" s="100">
        <v>0.1</v>
      </c>
      <c r="H44" s="101">
        <f t="shared" ref="H44:H45" si="44">ROUNDUP((E44*G44)+E44,0)</f>
        <v>230</v>
      </c>
      <c r="I44" s="96"/>
      <c r="J44" s="97"/>
      <c r="K44" s="102">
        <f t="shared" ref="K44:K45" si="45">I44*J44</f>
        <v>0</v>
      </c>
      <c r="L44" s="103"/>
      <c r="M44" s="104">
        <f t="shared" ref="M44:M45" si="46">H44*L44</f>
        <v>0</v>
      </c>
      <c r="N44" s="105">
        <f t="shared" ref="N44:N45" si="47">M44+K44</f>
        <v>0</v>
      </c>
      <c r="O44" s="106"/>
    </row>
    <row r="45" spans="1:15">
      <c r="A45" s="160">
        <f>IF(F45&lt;&gt;"",(COUNTA($F$6:$F45)),"")</f>
        <v>36</v>
      </c>
      <c r="B45" s="186"/>
      <c r="C45" s="189"/>
      <c r="D45" s="147" t="s">
        <v>157</v>
      </c>
      <c r="E45" s="151">
        <v>5272.02</v>
      </c>
      <c r="F45" s="130" t="s">
        <v>98</v>
      </c>
      <c r="G45" s="100">
        <v>0.1</v>
      </c>
      <c r="H45" s="101">
        <f t="shared" si="44"/>
        <v>5800</v>
      </c>
      <c r="I45" s="96"/>
      <c r="J45" s="97"/>
      <c r="K45" s="102">
        <f t="shared" si="45"/>
        <v>0</v>
      </c>
      <c r="L45" s="103"/>
      <c r="M45" s="104">
        <f t="shared" si="46"/>
        <v>0</v>
      </c>
      <c r="N45" s="105">
        <f t="shared" si="47"/>
        <v>0</v>
      </c>
      <c r="O45" s="106"/>
    </row>
    <row r="46" spans="1:15">
      <c r="A46" s="165" t="str">
        <f>IF(F46&lt;&gt;"",(COUNTA($F$6:$F46)),"")</f>
        <v/>
      </c>
      <c r="B46" s="164"/>
      <c r="C46" s="162"/>
      <c r="D46" s="111" t="s">
        <v>163</v>
      </c>
      <c r="E46" s="152"/>
      <c r="F46" s="112"/>
      <c r="G46" s="113"/>
      <c r="H46" s="114"/>
      <c r="I46" s="108"/>
      <c r="J46" s="113"/>
      <c r="K46" s="114"/>
      <c r="L46" s="108"/>
      <c r="M46" s="114"/>
      <c r="N46" s="108"/>
      <c r="O46" s="114"/>
    </row>
    <row r="47" spans="1:15">
      <c r="A47" s="167">
        <f>IF(F47&lt;&gt;"",(COUNTA($F$6:$F47)),"")</f>
        <v>37</v>
      </c>
      <c r="B47" s="210" t="s">
        <v>175</v>
      </c>
      <c r="C47" s="211" t="s">
        <v>178</v>
      </c>
      <c r="D47" s="117" t="s">
        <v>164</v>
      </c>
      <c r="E47" s="150">
        <v>399.6</v>
      </c>
      <c r="F47" s="119" t="s">
        <v>27</v>
      </c>
      <c r="G47" s="120"/>
      <c r="H47" s="121"/>
      <c r="I47" s="118"/>
      <c r="J47" s="122"/>
      <c r="K47" s="123"/>
      <c r="L47" s="124"/>
      <c r="M47" s="125"/>
      <c r="N47" s="126"/>
      <c r="O47" s="127"/>
    </row>
    <row r="48" spans="1:15">
      <c r="A48" s="167">
        <f>IF(F48&lt;&gt;"",(COUNTA($F$6:$F48)),"")</f>
        <v>38</v>
      </c>
      <c r="B48" s="210"/>
      <c r="C48" s="212"/>
      <c r="D48" s="147" t="s">
        <v>154</v>
      </c>
      <c r="E48" s="151">
        <v>16.440000000000001</v>
      </c>
      <c r="F48" s="130" t="s">
        <v>97</v>
      </c>
      <c r="G48" s="100">
        <v>0.1</v>
      </c>
      <c r="H48" s="101">
        <f t="shared" ref="H48:H49" si="48">ROUNDUP((E48*G48)+E48,0)</f>
        <v>19</v>
      </c>
      <c r="I48" s="96"/>
      <c r="J48" s="97"/>
      <c r="K48" s="102">
        <f t="shared" ref="K48:K49" si="49">I48*J48</f>
        <v>0</v>
      </c>
      <c r="L48" s="103"/>
      <c r="M48" s="104">
        <f t="shared" ref="M48:M49" si="50">H48*L48</f>
        <v>0</v>
      </c>
      <c r="N48" s="105">
        <f t="shared" ref="N48:N49" si="51">M48+K48</f>
        <v>0</v>
      </c>
      <c r="O48" s="106"/>
    </row>
    <row r="49" spans="1:15">
      <c r="A49" s="167">
        <f>IF(F49&lt;&gt;"",(COUNTA($F$6:$F49)),"")</f>
        <v>39</v>
      </c>
      <c r="B49" s="210"/>
      <c r="C49" s="212"/>
      <c r="D49" s="147" t="s">
        <v>165</v>
      </c>
      <c r="E49" s="129">
        <v>833.57</v>
      </c>
      <c r="F49" s="130" t="s">
        <v>98</v>
      </c>
      <c r="G49" s="100">
        <v>0.1</v>
      </c>
      <c r="H49" s="101">
        <f t="shared" si="48"/>
        <v>917</v>
      </c>
      <c r="I49" s="96"/>
      <c r="J49" s="97"/>
      <c r="K49" s="102">
        <f t="shared" si="49"/>
        <v>0</v>
      </c>
      <c r="L49" s="103"/>
      <c r="M49" s="104">
        <f t="shared" si="50"/>
        <v>0</v>
      </c>
      <c r="N49" s="105">
        <f t="shared" si="51"/>
        <v>0</v>
      </c>
      <c r="O49" s="106"/>
    </row>
    <row r="50" spans="1:15">
      <c r="A50" s="167">
        <f>IF(F50&lt;&gt;"",(COUNTA($F$6:$F50)),"")</f>
        <v>40</v>
      </c>
      <c r="B50" s="210"/>
      <c r="C50" s="212"/>
      <c r="D50" s="117" t="s">
        <v>166</v>
      </c>
      <c r="E50" s="150">
        <v>385.73</v>
      </c>
      <c r="F50" s="119" t="s">
        <v>27</v>
      </c>
      <c r="G50" s="120"/>
      <c r="H50" s="121"/>
      <c r="I50" s="118"/>
      <c r="J50" s="122"/>
      <c r="K50" s="123"/>
      <c r="L50" s="124"/>
      <c r="M50" s="125"/>
      <c r="N50" s="126"/>
      <c r="O50" s="127"/>
    </row>
    <row r="51" spans="1:15">
      <c r="A51" s="167">
        <f>IF(F51&lt;&gt;"",(COUNTA($F$6:$F51)),"")</f>
        <v>41</v>
      </c>
      <c r="B51" s="210"/>
      <c r="C51" s="212"/>
      <c r="D51" s="147" t="s">
        <v>154</v>
      </c>
      <c r="E51" s="151">
        <v>28.57</v>
      </c>
      <c r="F51" s="130" t="s">
        <v>97</v>
      </c>
      <c r="G51" s="100">
        <v>0.1</v>
      </c>
      <c r="H51" s="101">
        <f t="shared" ref="H51:H52" si="52">ROUNDUP((E51*G51)+E51,0)</f>
        <v>32</v>
      </c>
      <c r="I51" s="96"/>
      <c r="J51" s="97"/>
      <c r="K51" s="102">
        <f t="shared" ref="K51:K52" si="53">I51*J51</f>
        <v>0</v>
      </c>
      <c r="L51" s="103"/>
      <c r="M51" s="104">
        <f t="shared" ref="M51:M52" si="54">H51*L51</f>
        <v>0</v>
      </c>
      <c r="N51" s="105">
        <f t="shared" ref="N51:N52" si="55">M51+K51</f>
        <v>0</v>
      </c>
      <c r="O51" s="106"/>
    </row>
    <row r="52" spans="1:15">
      <c r="A52" s="167">
        <f>IF(F52&lt;&gt;"",(COUNTA($F$6:$F52)),"")</f>
        <v>42</v>
      </c>
      <c r="B52" s="210"/>
      <c r="C52" s="212"/>
      <c r="D52" s="147" t="s">
        <v>165</v>
      </c>
      <c r="E52" s="129">
        <v>1206.95</v>
      </c>
      <c r="F52" s="130" t="s">
        <v>98</v>
      </c>
      <c r="G52" s="100">
        <v>0.1</v>
      </c>
      <c r="H52" s="101">
        <f t="shared" si="52"/>
        <v>1328</v>
      </c>
      <c r="I52" s="96"/>
      <c r="J52" s="97"/>
      <c r="K52" s="102">
        <f t="shared" si="53"/>
        <v>0</v>
      </c>
      <c r="L52" s="103"/>
      <c r="M52" s="104">
        <f t="shared" si="54"/>
        <v>0</v>
      </c>
      <c r="N52" s="105">
        <f t="shared" si="55"/>
        <v>0</v>
      </c>
      <c r="O52" s="106"/>
    </row>
    <row r="53" spans="1:15">
      <c r="A53" s="167">
        <f>IF(F53&lt;&gt;"",(COUNTA($F$6:$F53)),"")</f>
        <v>43</v>
      </c>
      <c r="B53" s="210"/>
      <c r="C53" s="212"/>
      <c r="D53" s="128" t="s">
        <v>167</v>
      </c>
      <c r="E53" s="129">
        <v>704.05</v>
      </c>
      <c r="F53" s="130" t="s">
        <v>98</v>
      </c>
      <c r="G53" s="100">
        <v>0.1</v>
      </c>
      <c r="H53" s="101">
        <f t="shared" ref="H53" si="56">ROUNDUP((E53*G53)+E53,0)</f>
        <v>775</v>
      </c>
      <c r="I53" s="96"/>
      <c r="J53" s="97"/>
      <c r="K53" s="102">
        <f t="shared" ref="K53" si="57">I53*J53</f>
        <v>0</v>
      </c>
      <c r="L53" s="103"/>
      <c r="M53" s="104">
        <f t="shared" ref="M53" si="58">H53*L53</f>
        <v>0</v>
      </c>
      <c r="N53" s="105">
        <f t="shared" ref="N53" si="59">M53+K53</f>
        <v>0</v>
      </c>
      <c r="O53" s="106"/>
    </row>
    <row r="54" spans="1:15">
      <c r="A54" s="167">
        <f>IF(F54&lt;&gt;"",(COUNTA($F$6:$F54)),"")</f>
        <v>44</v>
      </c>
      <c r="B54" s="210"/>
      <c r="C54" s="212"/>
      <c r="D54" s="117" t="s">
        <v>168</v>
      </c>
      <c r="E54" s="150">
        <v>3919.7</v>
      </c>
      <c r="F54" s="119" t="s">
        <v>27</v>
      </c>
      <c r="G54" s="120"/>
      <c r="H54" s="121"/>
      <c r="I54" s="118"/>
      <c r="J54" s="122"/>
      <c r="K54" s="123"/>
      <c r="L54" s="124"/>
      <c r="M54" s="125"/>
      <c r="N54" s="126"/>
      <c r="O54" s="127"/>
    </row>
    <row r="55" spans="1:15">
      <c r="A55" s="167">
        <f>IF(F55&lt;&gt;"",(COUNTA($F$6:$F55)),"")</f>
        <v>45</v>
      </c>
      <c r="B55" s="210"/>
      <c r="C55" s="212"/>
      <c r="D55" s="147" t="s">
        <v>154</v>
      </c>
      <c r="E55" s="151">
        <v>399.23</v>
      </c>
      <c r="F55" s="130" t="s">
        <v>97</v>
      </c>
      <c r="G55" s="100">
        <v>0.1</v>
      </c>
      <c r="H55" s="101">
        <f t="shared" ref="H55:H57" si="60">ROUNDUP((E55*G55)+E55,0)</f>
        <v>440</v>
      </c>
      <c r="I55" s="96"/>
      <c r="J55" s="97"/>
      <c r="K55" s="102">
        <f t="shared" ref="K55:K57" si="61">I55*J55</f>
        <v>0</v>
      </c>
      <c r="L55" s="103"/>
      <c r="M55" s="104">
        <f t="shared" ref="M55:M57" si="62">H55*L55</f>
        <v>0</v>
      </c>
      <c r="N55" s="105">
        <f t="shared" ref="N55:N57" si="63">M55+K55</f>
        <v>0</v>
      </c>
      <c r="O55" s="106"/>
    </row>
    <row r="56" spans="1:15">
      <c r="A56" s="167">
        <f>IF(F56&lt;&gt;"",(COUNTA($F$6:$F56)),"")</f>
        <v>46</v>
      </c>
      <c r="B56" s="210"/>
      <c r="C56" s="212"/>
      <c r="D56" s="147" t="s">
        <v>165</v>
      </c>
      <c r="E56" s="129">
        <v>16352.99</v>
      </c>
      <c r="F56" s="130" t="s">
        <v>98</v>
      </c>
      <c r="G56" s="100">
        <v>0.1</v>
      </c>
      <c r="H56" s="101">
        <f t="shared" si="60"/>
        <v>17989</v>
      </c>
      <c r="I56" s="96"/>
      <c r="J56" s="97"/>
      <c r="K56" s="102">
        <f t="shared" si="61"/>
        <v>0</v>
      </c>
      <c r="L56" s="103"/>
      <c r="M56" s="104">
        <f t="shared" si="62"/>
        <v>0</v>
      </c>
      <c r="N56" s="105">
        <f t="shared" si="63"/>
        <v>0</v>
      </c>
      <c r="O56" s="106"/>
    </row>
    <row r="57" spans="1:15">
      <c r="A57" s="167">
        <f>IF(F57&lt;&gt;"",(COUNTA($F$6:$F57)),"")</f>
        <v>47</v>
      </c>
      <c r="B57" s="210"/>
      <c r="C57" s="212"/>
      <c r="D57" s="128" t="s">
        <v>167</v>
      </c>
      <c r="E57" s="129">
        <v>8176.49</v>
      </c>
      <c r="F57" s="130" t="s">
        <v>98</v>
      </c>
      <c r="G57" s="100">
        <v>0.1</v>
      </c>
      <c r="H57" s="101">
        <f t="shared" si="60"/>
        <v>8995</v>
      </c>
      <c r="I57" s="96"/>
      <c r="J57" s="97"/>
      <c r="K57" s="102">
        <f t="shared" si="61"/>
        <v>0</v>
      </c>
      <c r="L57" s="103"/>
      <c r="M57" s="104">
        <f t="shared" si="62"/>
        <v>0</v>
      </c>
      <c r="N57" s="105">
        <f t="shared" si="63"/>
        <v>0</v>
      </c>
      <c r="O57" s="106"/>
    </row>
    <row r="58" spans="1:15">
      <c r="A58" s="167">
        <f>IF(F58&lt;&gt;"",(COUNTA($F$6:$F58)),"")</f>
        <v>48</v>
      </c>
      <c r="B58" s="210"/>
      <c r="C58" s="212"/>
      <c r="D58" s="117" t="s">
        <v>169</v>
      </c>
      <c r="E58" s="150">
        <v>1572.08</v>
      </c>
      <c r="F58" s="119" t="s">
        <v>27</v>
      </c>
      <c r="G58" s="120"/>
      <c r="H58" s="121"/>
      <c r="I58" s="118"/>
      <c r="J58" s="122"/>
      <c r="K58" s="123"/>
      <c r="L58" s="124"/>
      <c r="M58" s="125"/>
      <c r="N58" s="126"/>
      <c r="O58" s="127"/>
    </row>
    <row r="59" spans="1:15">
      <c r="A59" s="167">
        <f>IF(F59&lt;&gt;"",(COUNTA($F$6:$F59)),"")</f>
        <v>49</v>
      </c>
      <c r="B59" s="210"/>
      <c r="C59" s="212"/>
      <c r="D59" s="147" t="s">
        <v>154</v>
      </c>
      <c r="E59" s="151">
        <v>174.68</v>
      </c>
      <c r="F59" s="130" t="s">
        <v>97</v>
      </c>
      <c r="G59" s="100">
        <v>0.1</v>
      </c>
      <c r="H59" s="101">
        <f t="shared" ref="H59:H61" si="64">ROUNDUP((E59*G59)+E59,0)</f>
        <v>193</v>
      </c>
      <c r="I59" s="96"/>
      <c r="J59" s="97"/>
      <c r="K59" s="102">
        <f t="shared" ref="K59:K61" si="65">I59*J59</f>
        <v>0</v>
      </c>
      <c r="L59" s="103"/>
      <c r="M59" s="104">
        <f t="shared" ref="M59:M61" si="66">H59*L59</f>
        <v>0</v>
      </c>
      <c r="N59" s="105">
        <f t="shared" ref="N59:N61" si="67">M59+K59</f>
        <v>0</v>
      </c>
      <c r="O59" s="106"/>
    </row>
    <row r="60" spans="1:15">
      <c r="A60" s="167">
        <f>IF(F60&lt;&gt;"",(COUNTA($F$6:$F60)),"")</f>
        <v>50</v>
      </c>
      <c r="B60" s="210"/>
      <c r="C60" s="212"/>
      <c r="D60" s="147" t="s">
        <v>165</v>
      </c>
      <c r="E60" s="129">
        <v>6558.72</v>
      </c>
      <c r="F60" s="130" t="s">
        <v>98</v>
      </c>
      <c r="G60" s="100">
        <v>0.1</v>
      </c>
      <c r="H60" s="101">
        <f t="shared" si="64"/>
        <v>7215</v>
      </c>
      <c r="I60" s="96"/>
      <c r="J60" s="97"/>
      <c r="K60" s="102">
        <f t="shared" si="65"/>
        <v>0</v>
      </c>
      <c r="L60" s="103"/>
      <c r="M60" s="104">
        <f t="shared" si="66"/>
        <v>0</v>
      </c>
      <c r="N60" s="105">
        <f t="shared" si="67"/>
        <v>0</v>
      </c>
      <c r="O60" s="106"/>
    </row>
    <row r="61" spans="1:15">
      <c r="A61" s="167">
        <f>IF(F61&lt;&gt;"",(COUNTA($F$6:$F61)),"")</f>
        <v>51</v>
      </c>
      <c r="B61" s="210"/>
      <c r="C61" s="213"/>
      <c r="D61" s="128" t="s">
        <v>167</v>
      </c>
      <c r="E61" s="129">
        <v>3689.28</v>
      </c>
      <c r="F61" s="130" t="s">
        <v>98</v>
      </c>
      <c r="G61" s="100">
        <v>0.1</v>
      </c>
      <c r="H61" s="101">
        <f t="shared" si="64"/>
        <v>4059</v>
      </c>
      <c r="I61" s="96"/>
      <c r="J61" s="97"/>
      <c r="K61" s="102">
        <f t="shared" si="65"/>
        <v>0</v>
      </c>
      <c r="L61" s="103"/>
      <c r="M61" s="104">
        <f t="shared" si="66"/>
        <v>0</v>
      </c>
      <c r="N61" s="105">
        <f t="shared" si="67"/>
        <v>0</v>
      </c>
      <c r="O61" s="106"/>
    </row>
    <row r="62" spans="1:15">
      <c r="A62" s="168" t="str">
        <f>IF(F62&lt;&gt;"",(COUNTA($F$6:$F62)),"")</f>
        <v/>
      </c>
      <c r="B62" s="164"/>
      <c r="C62" s="162"/>
      <c r="D62" s="111" t="s">
        <v>174</v>
      </c>
      <c r="E62" s="152"/>
      <c r="F62" s="112"/>
      <c r="G62" s="113"/>
      <c r="H62" s="114"/>
      <c r="I62" s="108"/>
      <c r="J62" s="113"/>
      <c r="K62" s="114"/>
      <c r="L62" s="108"/>
      <c r="M62" s="114"/>
      <c r="N62" s="108"/>
      <c r="O62" s="114"/>
    </row>
    <row r="63" spans="1:15">
      <c r="A63" s="167">
        <f>IF(F63&lt;&gt;"",(COUNTA($F$6:$F63)),"")</f>
        <v>52</v>
      </c>
      <c r="B63" s="210" t="s">
        <v>175</v>
      </c>
      <c r="C63" s="211" t="s">
        <v>179</v>
      </c>
      <c r="D63" s="117" t="s">
        <v>174</v>
      </c>
      <c r="E63" s="150">
        <v>12</v>
      </c>
      <c r="F63" s="119" t="s">
        <v>26</v>
      </c>
      <c r="G63" s="120"/>
      <c r="H63" s="121"/>
      <c r="I63" s="118"/>
      <c r="J63" s="122"/>
      <c r="K63" s="123"/>
      <c r="L63" s="124"/>
      <c r="M63" s="125"/>
      <c r="N63" s="126"/>
      <c r="O63" s="127"/>
    </row>
    <row r="64" spans="1:15">
      <c r="A64" s="167">
        <f>IF(F64&lt;&gt;"",(COUNTA($F$6:$F64)),"")</f>
        <v>53</v>
      </c>
      <c r="B64" s="210"/>
      <c r="C64" s="212"/>
      <c r="D64" s="147" t="s">
        <v>154</v>
      </c>
      <c r="E64" s="151">
        <v>18.3</v>
      </c>
      <c r="F64" s="130" t="s">
        <v>97</v>
      </c>
      <c r="G64" s="100">
        <v>0.1</v>
      </c>
      <c r="H64" s="101">
        <f t="shared" ref="H64:H65" si="68">ROUNDUP((E64*G64)+E64,0)</f>
        <v>21</v>
      </c>
      <c r="I64" s="96"/>
      <c r="J64" s="97"/>
      <c r="K64" s="102">
        <f t="shared" ref="K64:K65" si="69">I64*J64</f>
        <v>0</v>
      </c>
      <c r="L64" s="103"/>
      <c r="M64" s="104">
        <f t="shared" ref="M64:M65" si="70">H64*L64</f>
        <v>0</v>
      </c>
      <c r="N64" s="105">
        <f t="shared" ref="N64:N65" si="71">M64+K64</f>
        <v>0</v>
      </c>
      <c r="O64" s="106"/>
    </row>
    <row r="65" spans="1:15">
      <c r="A65" s="167">
        <f>IF(F65&lt;&gt;"",(COUNTA($F$6:$F65)),"")</f>
        <v>54</v>
      </c>
      <c r="B65" s="210"/>
      <c r="C65" s="213"/>
      <c r="D65" s="147" t="s">
        <v>101</v>
      </c>
      <c r="E65" s="151">
        <f>12.23*6*12*1.043</f>
        <v>918.42407999999989</v>
      </c>
      <c r="F65" s="130" t="s">
        <v>98</v>
      </c>
      <c r="G65" s="100">
        <v>0.1</v>
      </c>
      <c r="H65" s="101">
        <f t="shared" si="68"/>
        <v>1011</v>
      </c>
      <c r="I65" s="96"/>
      <c r="J65" s="97"/>
      <c r="K65" s="102">
        <f t="shared" si="69"/>
        <v>0</v>
      </c>
      <c r="L65" s="103"/>
      <c r="M65" s="104">
        <f t="shared" si="70"/>
        <v>0</v>
      </c>
      <c r="N65" s="105">
        <f t="shared" si="71"/>
        <v>0</v>
      </c>
      <c r="O65" s="106"/>
    </row>
    <row r="66" spans="1:15">
      <c r="A66" s="166" t="str">
        <f>IF(F66&lt;&gt;"",(COUNTA($F$6:$F66)),"")</f>
        <v/>
      </c>
      <c r="B66" s="169"/>
      <c r="C66" s="162"/>
      <c r="D66" s="111" t="s">
        <v>170</v>
      </c>
      <c r="E66" s="108"/>
      <c r="F66" s="112"/>
      <c r="G66" s="113"/>
      <c r="H66" s="114"/>
      <c r="I66" s="108"/>
      <c r="J66" s="113"/>
      <c r="K66" s="114"/>
      <c r="L66" s="108"/>
      <c r="M66" s="114"/>
      <c r="N66" s="108"/>
      <c r="O66" s="114"/>
    </row>
    <row r="67" spans="1:15">
      <c r="A67" s="160">
        <f>IF(F67&lt;&gt;"",(COUNTA($F$6:$F67)),"")</f>
        <v>55</v>
      </c>
      <c r="B67" s="214" t="s">
        <v>176</v>
      </c>
      <c r="C67" s="163" t="s">
        <v>91</v>
      </c>
      <c r="D67" s="128" t="s">
        <v>171</v>
      </c>
      <c r="E67" s="129">
        <v>1170</v>
      </c>
      <c r="F67" s="130" t="s">
        <v>27</v>
      </c>
      <c r="G67" s="100">
        <v>0.1</v>
      </c>
      <c r="H67" s="101">
        <f t="shared" ref="H67" si="72">ROUNDUP((E67*G67)+E67,0)</f>
        <v>1287</v>
      </c>
      <c r="I67" s="96"/>
      <c r="J67" s="97"/>
      <c r="K67" s="102">
        <f t="shared" ref="K67" si="73">I67*J67</f>
        <v>0</v>
      </c>
      <c r="L67" s="103"/>
      <c r="M67" s="104">
        <f t="shared" ref="M67" si="74">H67*L67</f>
        <v>0</v>
      </c>
      <c r="N67" s="105">
        <f t="shared" ref="N67" si="75">M67+K67</f>
        <v>0</v>
      </c>
      <c r="O67" s="106"/>
    </row>
    <row r="68" spans="1:15">
      <c r="A68" s="160">
        <f>IF(F68&lt;&gt;"",(COUNTA($F$6:$F68)),"")</f>
        <v>56</v>
      </c>
      <c r="B68" s="215"/>
      <c r="C68" s="163" t="s">
        <v>180</v>
      </c>
      <c r="D68" s="128" t="s">
        <v>172</v>
      </c>
      <c r="E68" s="151">
        <f>(378.8*4)+(392*6)</f>
        <v>3867.2</v>
      </c>
      <c r="F68" s="130" t="s">
        <v>27</v>
      </c>
      <c r="G68" s="100">
        <v>0.1</v>
      </c>
      <c r="H68" s="101">
        <f t="shared" ref="H68:H69" si="76">ROUNDUP((E68*G68)+E68,0)</f>
        <v>4254</v>
      </c>
      <c r="I68" s="96"/>
      <c r="J68" s="97"/>
      <c r="K68" s="102">
        <f t="shared" ref="K68:K69" si="77">I68*J68</f>
        <v>0</v>
      </c>
      <c r="L68" s="103"/>
      <c r="M68" s="104">
        <f t="shared" ref="M68:M69" si="78">H68*L68</f>
        <v>0</v>
      </c>
      <c r="N68" s="105">
        <f t="shared" ref="N68:N69" si="79">M68+K68</f>
        <v>0</v>
      </c>
      <c r="O68" s="106"/>
    </row>
    <row r="69" spans="1:15">
      <c r="A69" s="160">
        <f>IF(F69&lt;&gt;"",(COUNTA($F$6:$F69)),"")</f>
        <v>57</v>
      </c>
      <c r="B69" s="216"/>
      <c r="C69" s="163" t="s">
        <v>181</v>
      </c>
      <c r="D69" s="128" t="s">
        <v>173</v>
      </c>
      <c r="E69" s="151">
        <f>(15618.9*4)+(15916*6)</f>
        <v>157971.6</v>
      </c>
      <c r="F69" s="130" t="s">
        <v>27</v>
      </c>
      <c r="G69" s="100">
        <v>0.1</v>
      </c>
      <c r="H69" s="101">
        <f t="shared" si="76"/>
        <v>173769</v>
      </c>
      <c r="I69" s="96"/>
      <c r="J69" s="97"/>
      <c r="K69" s="102">
        <f t="shared" si="77"/>
        <v>0</v>
      </c>
      <c r="L69" s="103"/>
      <c r="M69" s="104">
        <f t="shared" si="78"/>
        <v>0</v>
      </c>
      <c r="N69" s="105">
        <f t="shared" si="79"/>
        <v>0</v>
      </c>
      <c r="O69" s="106"/>
    </row>
    <row r="70" spans="1:15">
      <c r="A70" s="38"/>
      <c r="B70" s="39"/>
      <c r="C70" s="131"/>
      <c r="D70" s="132"/>
      <c r="E70" s="133"/>
      <c r="F70" s="41"/>
      <c r="G70" s="43"/>
      <c r="H70" s="134"/>
      <c r="I70" s="135"/>
      <c r="J70" s="43"/>
      <c r="K70" s="136"/>
      <c r="L70" s="137"/>
      <c r="M70" s="136" t="s">
        <v>29</v>
      </c>
      <c r="N70" s="135"/>
      <c r="O70" s="45">
        <f>SUM(O5:O69)</f>
        <v>0</v>
      </c>
    </row>
    <row r="71" spans="1:15" ht="15" thickBot="1">
      <c r="A71" s="46"/>
      <c r="B71" s="47"/>
      <c r="C71" s="138"/>
      <c r="D71" s="139"/>
      <c r="E71" s="140"/>
      <c r="F71" s="49"/>
      <c r="G71" s="51"/>
      <c r="H71" s="141"/>
      <c r="I71" s="142"/>
      <c r="J71" s="51"/>
      <c r="K71" s="143"/>
      <c r="L71" s="144"/>
      <c r="M71" s="143" t="s">
        <v>30</v>
      </c>
      <c r="N71" s="145"/>
      <c r="O71" s="54">
        <f>SUM(O70:O70)</f>
        <v>0</v>
      </c>
    </row>
  </sheetData>
  <mergeCells count="25">
    <mergeCell ref="B47:B61"/>
    <mergeCell ref="C47:C61"/>
    <mergeCell ref="B63:B65"/>
    <mergeCell ref="C63:C65"/>
    <mergeCell ref="B67:B69"/>
    <mergeCell ref="K2:K3"/>
    <mergeCell ref="L2:L3"/>
    <mergeCell ref="M2:M3"/>
    <mergeCell ref="N2:N3"/>
    <mergeCell ref="O2:O3"/>
    <mergeCell ref="I2:I3"/>
    <mergeCell ref="J2:J3"/>
    <mergeCell ref="B25:B45"/>
    <mergeCell ref="C25:C45"/>
    <mergeCell ref="A3:C3"/>
    <mergeCell ref="A2:C2"/>
    <mergeCell ref="E2:F3"/>
    <mergeCell ref="G2:G3"/>
    <mergeCell ref="H2:H3"/>
    <mergeCell ref="B13:B15"/>
    <mergeCell ref="C13:C15"/>
    <mergeCell ref="B17:B20"/>
    <mergeCell ref="C17:C20"/>
    <mergeCell ref="B22:B23"/>
    <mergeCell ref="C22:C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="70" zoomScaleNormal="70" workbookViewId="0">
      <selection activeCell="I10" sqref="I10"/>
    </sheetView>
  </sheetViews>
  <sheetFormatPr defaultRowHeight="14.5"/>
  <cols>
    <col min="1" max="1" width="4" bestFit="1" customWidth="1"/>
    <col min="2" max="2" width="6.81640625" bestFit="1" customWidth="1"/>
    <col min="3" max="3" width="10.90625" bestFit="1" customWidth="1"/>
    <col min="4" max="4" width="56" bestFit="1" customWidth="1"/>
    <col min="5" max="5" width="11.1796875" bestFit="1" customWidth="1"/>
    <col min="7" max="7" width="9.54296875" bestFit="1" customWidth="1"/>
    <col min="8" max="8" width="9.6328125" bestFit="1" customWidth="1"/>
    <col min="9" max="9" width="9.90625" bestFit="1" customWidth="1"/>
    <col min="10" max="10" width="9.1796875" bestFit="1" customWidth="1"/>
    <col min="11" max="11" width="14" bestFit="1" customWidth="1"/>
    <col min="12" max="12" width="11.36328125" bestFit="1" customWidth="1"/>
    <col min="13" max="13" width="11.81640625" bestFit="1" customWidth="1"/>
    <col min="14" max="14" width="16.7265625" bestFit="1" customWidth="1"/>
    <col min="15" max="15" width="10.08984375" bestFit="1" customWidth="1"/>
  </cols>
  <sheetData>
    <row r="1" spans="1:15" ht="15" thickBot="1"/>
    <row r="2" spans="1:15">
      <c r="A2" s="192" t="s">
        <v>0</v>
      </c>
      <c r="B2" s="193"/>
      <c r="C2" s="193"/>
      <c r="D2" s="229" t="s">
        <v>129</v>
      </c>
      <c r="E2" s="182" t="s">
        <v>1</v>
      </c>
      <c r="F2" s="184"/>
      <c r="G2" s="184">
        <v>0</v>
      </c>
      <c r="H2" s="194" t="s">
        <v>2</v>
      </c>
      <c r="I2" s="182">
        <v>0</v>
      </c>
      <c r="J2" s="184" t="s">
        <v>3</v>
      </c>
      <c r="K2" s="196" t="s">
        <v>183</v>
      </c>
      <c r="L2" s="198" t="s">
        <v>4</v>
      </c>
      <c r="M2" s="200">
        <v>45827</v>
      </c>
      <c r="N2" s="182" t="s">
        <v>5</v>
      </c>
      <c r="O2" s="202">
        <f>O89</f>
        <v>0</v>
      </c>
    </row>
    <row r="3" spans="1:15" ht="15" thickBot="1">
      <c r="A3" s="190" t="s">
        <v>6</v>
      </c>
      <c r="B3" s="191"/>
      <c r="C3" s="191"/>
      <c r="D3" s="230" t="s">
        <v>130</v>
      </c>
      <c r="E3" s="183"/>
      <c r="F3" s="185"/>
      <c r="G3" s="185"/>
      <c r="H3" s="195"/>
      <c r="I3" s="183"/>
      <c r="J3" s="185"/>
      <c r="K3" s="197"/>
      <c r="L3" s="199"/>
      <c r="M3" s="201"/>
      <c r="N3" s="183"/>
      <c r="O3" s="203"/>
    </row>
    <row r="4" spans="1:15" ht="28">
      <c r="A4" s="73" t="s">
        <v>7</v>
      </c>
      <c r="B4" s="74" t="s">
        <v>8</v>
      </c>
      <c r="C4" s="75" t="s">
        <v>9</v>
      </c>
      <c r="D4" s="231" t="s">
        <v>10</v>
      </c>
      <c r="E4" s="73" t="s">
        <v>11</v>
      </c>
      <c r="F4" s="74" t="s">
        <v>12</v>
      </c>
      <c r="G4" s="77" t="s">
        <v>13</v>
      </c>
      <c r="H4" s="78" t="s">
        <v>14</v>
      </c>
      <c r="I4" s="79" t="s">
        <v>94</v>
      </c>
      <c r="J4" s="80" t="s">
        <v>95</v>
      </c>
      <c r="K4" s="81" t="s">
        <v>15</v>
      </c>
      <c r="L4" s="82" t="s">
        <v>16</v>
      </c>
      <c r="M4" s="81" t="s">
        <v>17</v>
      </c>
      <c r="N4" s="73" t="s">
        <v>18</v>
      </c>
      <c r="O4" s="78" t="s">
        <v>19</v>
      </c>
    </row>
    <row r="5" spans="1:15">
      <c r="A5" s="83"/>
      <c r="B5" s="84"/>
      <c r="C5" s="85"/>
      <c r="D5" s="232" t="s">
        <v>20</v>
      </c>
      <c r="E5" s="87"/>
      <c r="F5" s="88"/>
      <c r="G5" s="89"/>
      <c r="H5" s="90"/>
      <c r="I5" s="87"/>
      <c r="J5" s="88"/>
      <c r="K5" s="91"/>
      <c r="L5" s="92"/>
      <c r="M5" s="93"/>
      <c r="N5" s="94"/>
      <c r="O5" s="95">
        <f>SUM(N6:N9)</f>
        <v>0</v>
      </c>
    </row>
    <row r="6" spans="1:15">
      <c r="A6" s="96"/>
      <c r="B6" s="97"/>
      <c r="C6" s="98"/>
      <c r="D6" s="233" t="s">
        <v>21</v>
      </c>
      <c r="E6" s="96"/>
      <c r="F6" s="97"/>
      <c r="G6" s="100"/>
      <c r="H6" s="101"/>
      <c r="I6" s="96"/>
      <c r="J6" s="97"/>
      <c r="K6" s="102"/>
      <c r="L6" s="103"/>
      <c r="M6" s="104"/>
      <c r="N6" s="105"/>
      <c r="O6" s="106"/>
    </row>
    <row r="7" spans="1:15">
      <c r="A7" s="157">
        <f>IF(F7&lt;&gt;"",(COUNTA($F$6:$F7)),"")</f>
        <v>1</v>
      </c>
      <c r="B7" s="97"/>
      <c r="C7" s="98"/>
      <c r="D7" s="234" t="s">
        <v>22</v>
      </c>
      <c r="E7" s="96">
        <v>1</v>
      </c>
      <c r="F7" s="97" t="s">
        <v>23</v>
      </c>
      <c r="G7" s="100">
        <v>0</v>
      </c>
      <c r="H7" s="101">
        <f t="shared" ref="H7:H9" si="0">ROUNDUP((E7*G7)+E7,0)</f>
        <v>1</v>
      </c>
      <c r="I7" s="96"/>
      <c r="J7" s="97"/>
      <c r="K7" s="102">
        <f>I7*J7</f>
        <v>0</v>
      </c>
      <c r="L7" s="103"/>
      <c r="M7" s="104">
        <f>H7*L7</f>
        <v>0</v>
      </c>
      <c r="N7" s="105">
        <f>M7+K7</f>
        <v>0</v>
      </c>
      <c r="O7" s="106"/>
    </row>
    <row r="8" spans="1:15">
      <c r="A8" s="157">
        <f>IF(F8&lt;&gt;"",(COUNTA($F$6:$F8)),"")</f>
        <v>2</v>
      </c>
      <c r="B8" s="97"/>
      <c r="C8" s="98"/>
      <c r="D8" s="234" t="s">
        <v>96</v>
      </c>
      <c r="E8" s="96">
        <v>1</v>
      </c>
      <c r="F8" s="97" t="s">
        <v>23</v>
      </c>
      <c r="G8" s="100">
        <v>0</v>
      </c>
      <c r="H8" s="101">
        <f t="shared" si="0"/>
        <v>1</v>
      </c>
      <c r="I8" s="96"/>
      <c r="J8" s="97"/>
      <c r="K8" s="102">
        <f t="shared" ref="K8:K9" si="1">I8*J8</f>
        <v>0</v>
      </c>
      <c r="L8" s="103"/>
      <c r="M8" s="104">
        <f t="shared" ref="M8:M9" si="2">H8*L8</f>
        <v>0</v>
      </c>
      <c r="N8" s="105">
        <f t="shared" ref="N8:N9" si="3">M8+K8</f>
        <v>0</v>
      </c>
      <c r="O8" s="106"/>
    </row>
    <row r="9" spans="1:15">
      <c r="A9" s="157">
        <f>IF(F9&lt;&gt;"",(COUNTA($F$6:$F9)),"")</f>
        <v>3</v>
      </c>
      <c r="B9" s="97"/>
      <c r="C9" s="98"/>
      <c r="D9" s="234" t="s">
        <v>25</v>
      </c>
      <c r="E9" s="96">
        <v>1</v>
      </c>
      <c r="F9" s="97" t="s">
        <v>23</v>
      </c>
      <c r="G9" s="100">
        <v>0</v>
      </c>
      <c r="H9" s="101">
        <f t="shared" si="0"/>
        <v>1</v>
      </c>
      <c r="I9" s="96"/>
      <c r="J9" s="97"/>
      <c r="K9" s="102">
        <f t="shared" si="1"/>
        <v>0</v>
      </c>
      <c r="L9" s="103"/>
      <c r="M9" s="104">
        <f t="shared" si="2"/>
        <v>0</v>
      </c>
      <c r="N9" s="105">
        <f t="shared" si="3"/>
        <v>0</v>
      </c>
      <c r="O9" s="106"/>
    </row>
    <row r="10" spans="1:15">
      <c r="A10" s="158"/>
      <c r="B10" s="84"/>
      <c r="C10" s="85"/>
      <c r="D10" s="232" t="s">
        <v>104</v>
      </c>
      <c r="E10" s="87"/>
      <c r="F10" s="88"/>
      <c r="G10" s="89"/>
      <c r="H10" s="90"/>
      <c r="I10" s="87"/>
      <c r="J10" s="88"/>
      <c r="K10" s="91"/>
      <c r="L10" s="92"/>
      <c r="M10" s="93"/>
      <c r="N10" s="94"/>
      <c r="O10" s="95">
        <f>SUM(N11:N87)</f>
        <v>0</v>
      </c>
    </row>
    <row r="11" spans="1:15">
      <c r="A11" s="159"/>
      <c r="B11" s="109"/>
      <c r="C11" s="110"/>
      <c r="D11" s="235" t="s">
        <v>183</v>
      </c>
      <c r="E11" s="227"/>
      <c r="F11" s="112"/>
      <c r="G11" s="113"/>
      <c r="H11" s="114"/>
      <c r="I11" s="108"/>
      <c r="J11" s="113"/>
      <c r="K11" s="114"/>
      <c r="L11" s="108"/>
      <c r="M11" s="114"/>
      <c r="N11" s="108"/>
      <c r="O11" s="114"/>
    </row>
    <row r="12" spans="1:15">
      <c r="A12" s="155"/>
      <c r="B12" s="115"/>
      <c r="C12" s="116"/>
      <c r="D12" s="222" t="s">
        <v>188</v>
      </c>
      <c r="E12" s="239">
        <v>8</v>
      </c>
      <c r="F12" s="119" t="s">
        <v>26</v>
      </c>
      <c r="G12" s="120"/>
      <c r="H12" s="121"/>
      <c r="I12" s="118"/>
      <c r="J12" s="122"/>
      <c r="K12" s="123"/>
      <c r="L12" s="124"/>
      <c r="M12" s="125"/>
      <c r="N12" s="126"/>
      <c r="O12" s="127"/>
    </row>
    <row r="13" spans="1:15">
      <c r="A13" s="160"/>
      <c r="B13" s="218"/>
      <c r="C13" s="219"/>
      <c r="D13" s="223" t="s">
        <v>144</v>
      </c>
      <c r="E13" s="240">
        <v>291.75470824500002</v>
      </c>
      <c r="F13" s="130" t="s">
        <v>97</v>
      </c>
      <c r="G13" s="100">
        <v>0.1</v>
      </c>
      <c r="H13" s="101">
        <f>ROUNDUP((E13*G13)+E13,0)</f>
        <v>321</v>
      </c>
      <c r="I13" s="96"/>
      <c r="J13" s="97"/>
      <c r="K13" s="102">
        <f t="shared" ref="K13:K15" si="4">I13*J13</f>
        <v>0</v>
      </c>
      <c r="L13" s="103"/>
      <c r="M13" s="104">
        <f t="shared" ref="M13:M15" si="5">H13*L13</f>
        <v>0</v>
      </c>
      <c r="N13" s="105">
        <f t="shared" ref="N13:N15" si="6">M13+K13</f>
        <v>0</v>
      </c>
      <c r="O13" s="106"/>
    </row>
    <row r="14" spans="1:15">
      <c r="A14" s="160"/>
      <c r="B14" s="218"/>
      <c r="C14" s="219"/>
      <c r="D14" s="224" t="s">
        <v>101</v>
      </c>
      <c r="E14" s="240">
        <v>9595.5999999999985</v>
      </c>
      <c r="F14" s="130" t="s">
        <v>98</v>
      </c>
      <c r="G14" s="100">
        <v>0.1</v>
      </c>
      <c r="H14" s="101">
        <f t="shared" ref="H14:H15" si="7">ROUNDUP((E14*G14)+E14,0)</f>
        <v>10556</v>
      </c>
      <c r="I14" s="96"/>
      <c r="J14" s="97"/>
      <c r="K14" s="102">
        <f t="shared" si="4"/>
        <v>0</v>
      </c>
      <c r="L14" s="103"/>
      <c r="M14" s="104">
        <f t="shared" si="5"/>
        <v>0</v>
      </c>
      <c r="N14" s="105">
        <f t="shared" si="6"/>
        <v>0</v>
      </c>
      <c r="O14" s="106"/>
    </row>
    <row r="15" spans="1:15">
      <c r="A15" s="160"/>
      <c r="B15" s="218"/>
      <c r="C15" s="219"/>
      <c r="D15" s="225" t="s">
        <v>159</v>
      </c>
      <c r="E15" s="240">
        <v>20799.743999999999</v>
      </c>
      <c r="F15" s="130" t="s">
        <v>98</v>
      </c>
      <c r="G15" s="100">
        <v>0.1</v>
      </c>
      <c r="H15" s="101">
        <f t="shared" si="7"/>
        <v>22880</v>
      </c>
      <c r="I15" s="96"/>
      <c r="J15" s="97"/>
      <c r="K15" s="102">
        <f t="shared" si="4"/>
        <v>0</v>
      </c>
      <c r="L15" s="103"/>
      <c r="M15" s="104">
        <f t="shared" si="5"/>
        <v>0</v>
      </c>
      <c r="N15" s="105">
        <f t="shared" si="6"/>
        <v>0</v>
      </c>
      <c r="O15" s="106"/>
    </row>
    <row r="16" spans="1:15">
      <c r="A16" s="220"/>
      <c r="B16" s="218"/>
      <c r="C16" s="221"/>
      <c r="D16" s="226" t="s">
        <v>205</v>
      </c>
      <c r="E16" s="241">
        <f>241.16*8</f>
        <v>1929.28</v>
      </c>
      <c r="F16" s="130" t="s">
        <v>27</v>
      </c>
      <c r="G16" s="100">
        <v>0.1</v>
      </c>
      <c r="H16" s="101">
        <f t="shared" ref="H16" si="8">ROUNDUP((E16*G16)+E16,0)</f>
        <v>2123</v>
      </c>
      <c r="I16" s="96"/>
      <c r="J16" s="97"/>
      <c r="K16" s="102">
        <f t="shared" ref="K16" si="9">I16*J16</f>
        <v>0</v>
      </c>
      <c r="L16" s="103"/>
      <c r="M16" s="104">
        <f t="shared" ref="M16" si="10">H16*L16</f>
        <v>0</v>
      </c>
      <c r="N16" s="105">
        <f t="shared" ref="N16" si="11">M16+K16</f>
        <v>0</v>
      </c>
      <c r="O16" s="106"/>
    </row>
    <row r="17" spans="1:15">
      <c r="A17" s="155"/>
      <c r="B17" s="115"/>
      <c r="C17" s="116"/>
      <c r="D17" s="222" t="s">
        <v>189</v>
      </c>
      <c r="E17" s="239">
        <v>8</v>
      </c>
      <c r="F17" s="119" t="s">
        <v>26</v>
      </c>
      <c r="G17" s="120"/>
      <c r="H17" s="121"/>
      <c r="I17" s="118"/>
      <c r="J17" s="122"/>
      <c r="K17" s="123"/>
      <c r="L17" s="124"/>
      <c r="M17" s="125"/>
      <c r="N17" s="126"/>
      <c r="O17" s="127"/>
    </row>
    <row r="18" spans="1:15">
      <c r="A18" s="160"/>
      <c r="B18" s="218"/>
      <c r="C18" s="219"/>
      <c r="D18" s="223" t="s">
        <v>144</v>
      </c>
      <c r="E18" s="240">
        <v>351.68390757500003</v>
      </c>
      <c r="F18" s="130" t="s">
        <v>97</v>
      </c>
      <c r="G18" s="100">
        <v>0.1</v>
      </c>
      <c r="H18" s="101">
        <f t="shared" ref="H18:H20" si="12">ROUNDUP((E18*G18)+E18,0)</f>
        <v>387</v>
      </c>
      <c r="I18" s="96"/>
      <c r="J18" s="97"/>
      <c r="K18" s="102">
        <f t="shared" ref="K18:K20" si="13">I18*J18</f>
        <v>0</v>
      </c>
      <c r="L18" s="103"/>
      <c r="M18" s="104">
        <f t="shared" ref="M18:M20" si="14">H18*L18</f>
        <v>0</v>
      </c>
      <c r="N18" s="105">
        <f t="shared" ref="N18:N20" si="15">M18+K18</f>
        <v>0</v>
      </c>
      <c r="O18" s="106"/>
    </row>
    <row r="19" spans="1:15">
      <c r="A19" s="160"/>
      <c r="B19" s="218"/>
      <c r="C19" s="219"/>
      <c r="D19" s="225" t="s">
        <v>101</v>
      </c>
      <c r="E19" s="240">
        <v>11498.031999999999</v>
      </c>
      <c r="F19" s="130" t="s">
        <v>98</v>
      </c>
      <c r="G19" s="100">
        <v>0.1</v>
      </c>
      <c r="H19" s="101">
        <f t="shared" si="12"/>
        <v>12648</v>
      </c>
      <c r="I19" s="96"/>
      <c r="J19" s="97"/>
      <c r="K19" s="102">
        <f t="shared" si="13"/>
        <v>0</v>
      </c>
      <c r="L19" s="103"/>
      <c r="M19" s="104">
        <f t="shared" si="14"/>
        <v>0</v>
      </c>
      <c r="N19" s="105">
        <f t="shared" si="15"/>
        <v>0</v>
      </c>
      <c r="O19" s="106"/>
    </row>
    <row r="20" spans="1:15">
      <c r="A20" s="220"/>
      <c r="B20" s="218"/>
      <c r="C20" s="221"/>
      <c r="D20" s="226" t="s">
        <v>205</v>
      </c>
      <c r="E20" s="241">
        <f>156*8</f>
        <v>1248</v>
      </c>
      <c r="F20" s="130" t="s">
        <v>27</v>
      </c>
      <c r="G20" s="100">
        <v>0.1</v>
      </c>
      <c r="H20" s="101">
        <f t="shared" si="12"/>
        <v>1373</v>
      </c>
      <c r="I20" s="96"/>
      <c r="J20" s="97"/>
      <c r="K20" s="102">
        <f t="shared" si="13"/>
        <v>0</v>
      </c>
      <c r="L20" s="103"/>
      <c r="M20" s="104">
        <f t="shared" si="14"/>
        <v>0</v>
      </c>
      <c r="N20" s="105">
        <f t="shared" si="15"/>
        <v>0</v>
      </c>
      <c r="O20" s="106"/>
    </row>
    <row r="21" spans="1:15">
      <c r="A21" s="155"/>
      <c r="B21" s="115"/>
      <c r="C21" s="116"/>
      <c r="D21" s="222" t="s">
        <v>190</v>
      </c>
      <c r="E21" s="239">
        <v>4</v>
      </c>
      <c r="F21" s="119" t="s">
        <v>26</v>
      </c>
      <c r="G21" s="120"/>
      <c r="H21" s="121"/>
      <c r="I21" s="118"/>
      <c r="J21" s="122"/>
      <c r="K21" s="123"/>
      <c r="L21" s="124"/>
      <c r="M21" s="125"/>
      <c r="N21" s="126"/>
      <c r="O21" s="127"/>
    </row>
    <row r="22" spans="1:15">
      <c r="A22" s="160"/>
      <c r="B22" s="218"/>
      <c r="C22" s="219"/>
      <c r="D22" s="223" t="s">
        <v>144</v>
      </c>
      <c r="E22" s="240">
        <v>75.771498302500007</v>
      </c>
      <c r="F22" s="130" t="s">
        <v>97</v>
      </c>
      <c r="G22" s="100">
        <v>0.1</v>
      </c>
      <c r="H22" s="101">
        <f t="shared" ref="H22:H26" si="16">ROUNDUP((E22*G22)+E22,0)</f>
        <v>84</v>
      </c>
      <c r="I22" s="96"/>
      <c r="J22" s="97"/>
      <c r="K22" s="102">
        <f t="shared" ref="K22:K26" si="17">I22*J22</f>
        <v>0</v>
      </c>
      <c r="L22" s="103"/>
      <c r="M22" s="104">
        <f t="shared" ref="M22:M26" si="18">H22*L22</f>
        <v>0</v>
      </c>
      <c r="N22" s="105">
        <f t="shared" ref="N22:N26" si="19">M22+K22</f>
        <v>0</v>
      </c>
      <c r="O22" s="106"/>
    </row>
    <row r="23" spans="1:15">
      <c r="A23" s="160"/>
      <c r="B23" s="218"/>
      <c r="C23" s="219"/>
      <c r="D23" s="224" t="s">
        <v>206</v>
      </c>
      <c r="E23" s="240">
        <v>240.64</v>
      </c>
      <c r="F23" s="130" t="s">
        <v>98</v>
      </c>
      <c r="G23" s="100">
        <v>0.1</v>
      </c>
      <c r="H23" s="101">
        <f t="shared" ref="H23" si="20">ROUNDUP((E23*G23)+E23,0)</f>
        <v>265</v>
      </c>
      <c r="I23" s="96"/>
      <c r="J23" s="97"/>
      <c r="K23" s="102">
        <f t="shared" ref="K23" si="21">I23*J23</f>
        <v>0</v>
      </c>
      <c r="L23" s="103"/>
      <c r="M23" s="104">
        <f t="shared" ref="M23" si="22">H23*L23</f>
        <v>0</v>
      </c>
      <c r="N23" s="105">
        <f t="shared" ref="N23" si="23">M23+K23</f>
        <v>0</v>
      </c>
      <c r="O23" s="106"/>
    </row>
    <row r="24" spans="1:15">
      <c r="A24" s="160"/>
      <c r="B24" s="218"/>
      <c r="C24" s="219"/>
      <c r="D24" s="224" t="s">
        <v>101</v>
      </c>
      <c r="E24" s="240">
        <v>1768.9279999999999</v>
      </c>
      <c r="F24" s="130" t="s">
        <v>98</v>
      </c>
      <c r="G24" s="100">
        <v>0.1</v>
      </c>
      <c r="H24" s="101">
        <f t="shared" si="16"/>
        <v>1946</v>
      </c>
      <c r="I24" s="96"/>
      <c r="J24" s="97"/>
      <c r="K24" s="102">
        <f t="shared" si="17"/>
        <v>0</v>
      </c>
      <c r="L24" s="103"/>
      <c r="M24" s="104">
        <f t="shared" si="18"/>
        <v>0</v>
      </c>
      <c r="N24" s="105">
        <f t="shared" si="19"/>
        <v>0</v>
      </c>
      <c r="O24" s="106"/>
    </row>
    <row r="25" spans="1:15">
      <c r="A25" s="160"/>
      <c r="B25" s="218"/>
      <c r="C25" s="219"/>
      <c r="D25" s="225" t="s">
        <v>159</v>
      </c>
      <c r="E25" s="240">
        <v>1733.3120000000001</v>
      </c>
      <c r="F25" s="130" t="s">
        <v>98</v>
      </c>
      <c r="G25" s="100">
        <v>0.1</v>
      </c>
      <c r="H25" s="101">
        <f t="shared" si="16"/>
        <v>1907</v>
      </c>
      <c r="I25" s="96"/>
      <c r="J25" s="97"/>
      <c r="K25" s="102">
        <f t="shared" si="17"/>
        <v>0</v>
      </c>
      <c r="L25" s="103"/>
      <c r="M25" s="104">
        <f t="shared" si="18"/>
        <v>0</v>
      </c>
      <c r="N25" s="105">
        <f t="shared" si="19"/>
        <v>0</v>
      </c>
      <c r="O25" s="106"/>
    </row>
    <row r="26" spans="1:15">
      <c r="A26" s="220"/>
      <c r="B26" s="218"/>
      <c r="C26" s="221"/>
      <c r="D26" s="226" t="s">
        <v>205</v>
      </c>
      <c r="E26" s="241">
        <f>127.54*4</f>
        <v>510.16</v>
      </c>
      <c r="F26" s="130" t="s">
        <v>27</v>
      </c>
      <c r="G26" s="100">
        <v>0.1</v>
      </c>
      <c r="H26" s="101">
        <f t="shared" si="16"/>
        <v>562</v>
      </c>
      <c r="I26" s="96"/>
      <c r="J26" s="97"/>
      <c r="K26" s="102">
        <f t="shared" si="17"/>
        <v>0</v>
      </c>
      <c r="L26" s="103"/>
      <c r="M26" s="104">
        <f t="shared" si="18"/>
        <v>0</v>
      </c>
      <c r="N26" s="105">
        <f t="shared" si="19"/>
        <v>0</v>
      </c>
      <c r="O26" s="106"/>
    </row>
    <row r="27" spans="1:15">
      <c r="A27" s="155"/>
      <c r="B27" s="115"/>
      <c r="C27" s="116"/>
      <c r="D27" s="222" t="s">
        <v>191</v>
      </c>
      <c r="E27" s="239">
        <v>11</v>
      </c>
      <c r="F27" s="119" t="s">
        <v>26</v>
      </c>
      <c r="G27" s="120"/>
      <c r="H27" s="121"/>
      <c r="I27" s="118"/>
      <c r="J27" s="122"/>
      <c r="K27" s="123"/>
      <c r="L27" s="124"/>
      <c r="M27" s="125"/>
      <c r="N27" s="126"/>
      <c r="O27" s="127"/>
    </row>
    <row r="28" spans="1:15">
      <c r="A28" s="160"/>
      <c r="B28" s="218"/>
      <c r="C28" s="219"/>
      <c r="D28" s="223" t="s">
        <v>144</v>
      </c>
      <c r="E28" s="240">
        <v>404.71022028937512</v>
      </c>
      <c r="F28" s="130" t="s">
        <v>97</v>
      </c>
      <c r="G28" s="100">
        <v>0.1</v>
      </c>
      <c r="H28" s="101">
        <f t="shared" ref="H28:H31" si="24">ROUNDUP((E28*G28)+E28,0)</f>
        <v>446</v>
      </c>
      <c r="I28" s="96"/>
      <c r="J28" s="97"/>
      <c r="K28" s="102">
        <f t="shared" ref="K28:K31" si="25">I28*J28</f>
        <v>0</v>
      </c>
      <c r="L28" s="103"/>
      <c r="M28" s="104">
        <f t="shared" ref="M28:M31" si="26">H28*L28</f>
        <v>0</v>
      </c>
      <c r="N28" s="105">
        <f t="shared" ref="N28:N31" si="27">M28+K28</f>
        <v>0</v>
      </c>
      <c r="O28" s="106"/>
    </row>
    <row r="29" spans="1:15">
      <c r="A29" s="160"/>
      <c r="B29" s="218"/>
      <c r="C29" s="219"/>
      <c r="D29" s="224" t="s">
        <v>206</v>
      </c>
      <c r="E29" s="240">
        <v>3144.9316800000001</v>
      </c>
      <c r="F29" s="130" t="s">
        <v>98</v>
      </c>
      <c r="G29" s="100">
        <v>0.1</v>
      </c>
      <c r="H29" s="101">
        <f t="shared" si="24"/>
        <v>3460</v>
      </c>
      <c r="I29" s="96"/>
      <c r="J29" s="97"/>
      <c r="K29" s="102">
        <f t="shared" si="25"/>
        <v>0</v>
      </c>
      <c r="L29" s="103"/>
      <c r="M29" s="104">
        <f t="shared" si="26"/>
        <v>0</v>
      </c>
      <c r="N29" s="105">
        <f t="shared" si="27"/>
        <v>0</v>
      </c>
      <c r="O29" s="106"/>
    </row>
    <row r="30" spans="1:15">
      <c r="A30" s="160"/>
      <c r="B30" s="218"/>
      <c r="C30" s="219"/>
      <c r="D30" s="225" t="s">
        <v>159</v>
      </c>
      <c r="E30" s="240">
        <v>20078.212</v>
      </c>
      <c r="F30" s="130" t="s">
        <v>98</v>
      </c>
      <c r="G30" s="100">
        <v>0.1</v>
      </c>
      <c r="H30" s="101">
        <f t="shared" si="24"/>
        <v>22087</v>
      </c>
      <c r="I30" s="96"/>
      <c r="J30" s="97"/>
      <c r="K30" s="102">
        <f t="shared" si="25"/>
        <v>0</v>
      </c>
      <c r="L30" s="103"/>
      <c r="M30" s="104">
        <f t="shared" si="26"/>
        <v>0</v>
      </c>
      <c r="N30" s="105">
        <f t="shared" si="27"/>
        <v>0</v>
      </c>
      <c r="O30" s="106"/>
    </row>
    <row r="31" spans="1:15">
      <c r="A31" s="220"/>
      <c r="B31" s="218"/>
      <c r="C31" s="221"/>
      <c r="D31" s="226" t="s">
        <v>205</v>
      </c>
      <c r="E31" s="241">
        <f>227*11</f>
        <v>2497</v>
      </c>
      <c r="F31" s="130" t="s">
        <v>27</v>
      </c>
      <c r="G31" s="100">
        <v>0.1</v>
      </c>
      <c r="H31" s="101">
        <f t="shared" si="24"/>
        <v>2747</v>
      </c>
      <c r="I31" s="96"/>
      <c r="J31" s="97"/>
      <c r="K31" s="102">
        <f t="shared" si="25"/>
        <v>0</v>
      </c>
      <c r="L31" s="103"/>
      <c r="M31" s="104">
        <f t="shared" si="26"/>
        <v>0</v>
      </c>
      <c r="N31" s="105">
        <f t="shared" si="27"/>
        <v>0</v>
      </c>
      <c r="O31" s="106"/>
    </row>
    <row r="32" spans="1:15">
      <c r="A32" s="155"/>
      <c r="B32" s="115"/>
      <c r="C32" s="116"/>
      <c r="D32" s="222" t="s">
        <v>192</v>
      </c>
      <c r="E32" s="239">
        <v>3</v>
      </c>
      <c r="F32" s="119" t="s">
        <v>26</v>
      </c>
      <c r="G32" s="120"/>
      <c r="H32" s="121"/>
      <c r="I32" s="118"/>
      <c r="J32" s="122"/>
      <c r="K32" s="123"/>
      <c r="L32" s="124"/>
      <c r="M32" s="125"/>
      <c r="N32" s="126"/>
      <c r="O32" s="127"/>
    </row>
    <row r="33" spans="1:15">
      <c r="A33" s="160"/>
      <c r="B33" s="218"/>
      <c r="C33" s="219"/>
      <c r="D33" s="223" t="s">
        <v>144</v>
      </c>
      <c r="E33" s="240">
        <v>90.821483252500016</v>
      </c>
      <c r="F33" s="130" t="s">
        <v>97</v>
      </c>
      <c r="G33" s="100">
        <v>0.1</v>
      </c>
      <c r="H33" s="101">
        <f t="shared" ref="H33:H37" si="28">ROUNDUP((E33*G33)+E33,0)</f>
        <v>100</v>
      </c>
      <c r="I33" s="96"/>
      <c r="J33" s="97"/>
      <c r="K33" s="102">
        <f t="shared" ref="K33:K37" si="29">I33*J33</f>
        <v>0</v>
      </c>
      <c r="L33" s="103"/>
      <c r="M33" s="104">
        <f t="shared" ref="M33:M37" si="30">H33*L33</f>
        <v>0</v>
      </c>
      <c r="N33" s="105">
        <f t="shared" ref="N33:N37" si="31">M33+K33</f>
        <v>0</v>
      </c>
      <c r="O33" s="106"/>
    </row>
    <row r="34" spans="1:15">
      <c r="A34" s="160"/>
      <c r="B34" s="218"/>
      <c r="C34" s="219"/>
      <c r="D34" s="224" t="s">
        <v>206</v>
      </c>
      <c r="E34" s="240">
        <v>107.37432</v>
      </c>
      <c r="F34" s="130" t="s">
        <v>98</v>
      </c>
      <c r="G34" s="100">
        <v>0.1</v>
      </c>
      <c r="H34" s="101">
        <f t="shared" si="28"/>
        <v>119</v>
      </c>
      <c r="I34" s="96"/>
      <c r="J34" s="97"/>
      <c r="K34" s="102">
        <f t="shared" si="29"/>
        <v>0</v>
      </c>
      <c r="L34" s="103"/>
      <c r="M34" s="104">
        <f t="shared" si="30"/>
        <v>0</v>
      </c>
      <c r="N34" s="105">
        <f t="shared" si="31"/>
        <v>0</v>
      </c>
      <c r="O34" s="106"/>
    </row>
    <row r="35" spans="1:15">
      <c r="A35" s="160"/>
      <c r="B35" s="218"/>
      <c r="C35" s="219"/>
      <c r="D35" s="224" t="s">
        <v>101</v>
      </c>
      <c r="E35" s="240">
        <v>4102.1189999999997</v>
      </c>
      <c r="F35" s="130" t="s">
        <v>98</v>
      </c>
      <c r="G35" s="100">
        <v>0.1</v>
      </c>
      <c r="H35" s="101">
        <f t="shared" si="28"/>
        <v>4513</v>
      </c>
      <c r="I35" s="96"/>
      <c r="J35" s="97"/>
      <c r="K35" s="102">
        <f t="shared" si="29"/>
        <v>0</v>
      </c>
      <c r="L35" s="103"/>
      <c r="M35" s="104">
        <f t="shared" si="30"/>
        <v>0</v>
      </c>
      <c r="N35" s="105">
        <f t="shared" si="31"/>
        <v>0</v>
      </c>
      <c r="O35" s="106"/>
    </row>
    <row r="36" spans="1:15">
      <c r="A36" s="160"/>
      <c r="B36" s="218"/>
      <c r="C36" s="219"/>
      <c r="D36" s="225" t="s">
        <v>159</v>
      </c>
      <c r="E36" s="240">
        <v>864.61199999999997</v>
      </c>
      <c r="F36" s="130" t="s">
        <v>98</v>
      </c>
      <c r="G36" s="100">
        <v>0.1</v>
      </c>
      <c r="H36" s="101">
        <f t="shared" si="28"/>
        <v>952</v>
      </c>
      <c r="I36" s="96"/>
      <c r="J36" s="97"/>
      <c r="K36" s="102">
        <f t="shared" si="29"/>
        <v>0</v>
      </c>
      <c r="L36" s="103"/>
      <c r="M36" s="104">
        <f t="shared" si="30"/>
        <v>0</v>
      </c>
      <c r="N36" s="105">
        <f t="shared" si="31"/>
        <v>0</v>
      </c>
      <c r="O36" s="106"/>
    </row>
    <row r="37" spans="1:15">
      <c r="A37" s="220"/>
      <c r="B37" s="218"/>
      <c r="C37" s="221"/>
      <c r="D37" s="226" t="s">
        <v>205</v>
      </c>
      <c r="E37" s="241">
        <f>204.57*3</f>
        <v>613.71</v>
      </c>
      <c r="F37" s="130" t="s">
        <v>27</v>
      </c>
      <c r="G37" s="100">
        <v>0.1</v>
      </c>
      <c r="H37" s="101">
        <f t="shared" si="28"/>
        <v>676</v>
      </c>
      <c r="I37" s="96"/>
      <c r="J37" s="97"/>
      <c r="K37" s="102">
        <f t="shared" si="29"/>
        <v>0</v>
      </c>
      <c r="L37" s="103"/>
      <c r="M37" s="104">
        <f t="shared" si="30"/>
        <v>0</v>
      </c>
      <c r="N37" s="105">
        <f t="shared" si="31"/>
        <v>0</v>
      </c>
      <c r="O37" s="106"/>
    </row>
    <row r="38" spans="1:15">
      <c r="A38" s="155"/>
      <c r="B38" s="115"/>
      <c r="C38" s="116"/>
      <c r="D38" s="222" t="s">
        <v>193</v>
      </c>
      <c r="E38" s="239">
        <v>116</v>
      </c>
      <c r="F38" s="119" t="s">
        <v>26</v>
      </c>
      <c r="G38" s="120"/>
      <c r="H38" s="121"/>
      <c r="I38" s="118"/>
      <c r="J38" s="122"/>
      <c r="K38" s="123"/>
      <c r="L38" s="124"/>
      <c r="M38" s="125"/>
      <c r="N38" s="126"/>
      <c r="O38" s="127"/>
    </row>
    <row r="39" spans="1:15">
      <c r="A39" s="160"/>
      <c r="B39" s="218"/>
      <c r="C39" s="219"/>
      <c r="D39" s="223" t="s">
        <v>144</v>
      </c>
      <c r="E39" s="240">
        <v>4084.459742696667</v>
      </c>
      <c r="F39" s="130" t="s">
        <v>97</v>
      </c>
      <c r="G39" s="100">
        <v>0.1</v>
      </c>
      <c r="H39" s="101">
        <f t="shared" ref="H39:H43" si="32">ROUNDUP((E39*G39)+E39,0)</f>
        <v>4493</v>
      </c>
      <c r="I39" s="96"/>
      <c r="J39" s="97"/>
      <c r="K39" s="102">
        <f t="shared" ref="K39:K43" si="33">I39*J39</f>
        <v>0</v>
      </c>
      <c r="L39" s="103"/>
      <c r="M39" s="104">
        <f t="shared" ref="M39:M43" si="34">H39*L39</f>
        <v>0</v>
      </c>
      <c r="N39" s="105">
        <f t="shared" ref="N39:N43" si="35">M39+K39</f>
        <v>0</v>
      </c>
      <c r="O39" s="106"/>
    </row>
    <row r="40" spans="1:15">
      <c r="A40" s="160"/>
      <c r="B40" s="218"/>
      <c r="C40" s="219"/>
      <c r="D40" s="224" t="s">
        <v>206</v>
      </c>
      <c r="E40" s="240">
        <v>20734.174080000001</v>
      </c>
      <c r="F40" s="130" t="s">
        <v>98</v>
      </c>
      <c r="G40" s="100">
        <v>0.1</v>
      </c>
      <c r="H40" s="101">
        <f t="shared" si="32"/>
        <v>22808</v>
      </c>
      <c r="I40" s="96"/>
      <c r="J40" s="97"/>
      <c r="K40" s="102">
        <f t="shared" si="33"/>
        <v>0</v>
      </c>
      <c r="L40" s="103"/>
      <c r="M40" s="104">
        <f t="shared" si="34"/>
        <v>0</v>
      </c>
      <c r="N40" s="105">
        <f t="shared" si="35"/>
        <v>0</v>
      </c>
      <c r="O40" s="106"/>
    </row>
    <row r="41" spans="1:15">
      <c r="A41" s="160"/>
      <c r="B41" s="218"/>
      <c r="C41" s="219"/>
      <c r="D41" s="224" t="s">
        <v>101</v>
      </c>
      <c r="E41" s="240">
        <v>34118.615999999995</v>
      </c>
      <c r="F41" s="130" t="s">
        <v>98</v>
      </c>
      <c r="G41" s="100">
        <v>0.1</v>
      </c>
      <c r="H41" s="101">
        <f t="shared" si="32"/>
        <v>37531</v>
      </c>
      <c r="I41" s="96"/>
      <c r="J41" s="97"/>
      <c r="K41" s="102">
        <f t="shared" si="33"/>
        <v>0</v>
      </c>
      <c r="L41" s="103"/>
      <c r="M41" s="104">
        <f t="shared" si="34"/>
        <v>0</v>
      </c>
      <c r="N41" s="105">
        <f t="shared" si="35"/>
        <v>0</v>
      </c>
      <c r="O41" s="106"/>
    </row>
    <row r="42" spans="1:15">
      <c r="A42" s="160"/>
      <c r="B42" s="218"/>
      <c r="C42" s="219"/>
      <c r="D42" s="225" t="s">
        <v>159</v>
      </c>
      <c r="E42" s="240">
        <v>144870.54399999999</v>
      </c>
      <c r="F42" s="130" t="s">
        <v>98</v>
      </c>
      <c r="G42" s="100">
        <v>0.1</v>
      </c>
      <c r="H42" s="101">
        <f t="shared" si="32"/>
        <v>159358</v>
      </c>
      <c r="I42" s="96"/>
      <c r="J42" s="97"/>
      <c r="K42" s="102">
        <f t="shared" si="33"/>
        <v>0</v>
      </c>
      <c r="L42" s="103"/>
      <c r="M42" s="104">
        <f t="shared" si="34"/>
        <v>0</v>
      </c>
      <c r="N42" s="105">
        <f t="shared" si="35"/>
        <v>0</v>
      </c>
      <c r="O42" s="106"/>
    </row>
    <row r="43" spans="1:15">
      <c r="A43" s="220"/>
      <c r="B43" s="218"/>
      <c r="C43" s="221"/>
      <c r="D43" s="226" t="s">
        <v>205</v>
      </c>
      <c r="E43" s="241">
        <f>259.93*116</f>
        <v>30151.88</v>
      </c>
      <c r="F43" s="130" t="s">
        <v>27</v>
      </c>
      <c r="G43" s="100">
        <v>0.1</v>
      </c>
      <c r="H43" s="101">
        <f t="shared" si="32"/>
        <v>33168</v>
      </c>
      <c r="I43" s="96"/>
      <c r="J43" s="97"/>
      <c r="K43" s="102">
        <f t="shared" si="33"/>
        <v>0</v>
      </c>
      <c r="L43" s="103"/>
      <c r="M43" s="104">
        <f t="shared" si="34"/>
        <v>0</v>
      </c>
      <c r="N43" s="105">
        <f t="shared" si="35"/>
        <v>0</v>
      </c>
      <c r="O43" s="106"/>
    </row>
    <row r="44" spans="1:15">
      <c r="A44" s="155"/>
      <c r="B44" s="115"/>
      <c r="C44" s="116"/>
      <c r="D44" s="222" t="s">
        <v>194</v>
      </c>
      <c r="E44" s="239">
        <v>3</v>
      </c>
      <c r="F44" s="119" t="s">
        <v>26</v>
      </c>
      <c r="G44" s="120"/>
      <c r="H44" s="121"/>
      <c r="I44" s="118"/>
      <c r="J44" s="122"/>
      <c r="K44" s="123"/>
      <c r="L44" s="124"/>
      <c r="M44" s="125"/>
      <c r="N44" s="126"/>
      <c r="O44" s="127"/>
    </row>
    <row r="45" spans="1:15">
      <c r="A45" s="160"/>
      <c r="B45" s="218"/>
      <c r="C45" s="219"/>
      <c r="D45" s="223" t="s">
        <v>144</v>
      </c>
      <c r="E45" s="240">
        <v>112.65622993625</v>
      </c>
      <c r="F45" s="130" t="s">
        <v>97</v>
      </c>
      <c r="G45" s="100">
        <v>0.1</v>
      </c>
      <c r="H45" s="101">
        <f t="shared" ref="H45:H49" si="36">ROUNDUP((E45*G45)+E45,0)</f>
        <v>124</v>
      </c>
      <c r="I45" s="96"/>
      <c r="J45" s="97"/>
      <c r="K45" s="102">
        <f t="shared" ref="K45:K49" si="37">I45*J45</f>
        <v>0</v>
      </c>
      <c r="L45" s="103"/>
      <c r="M45" s="104">
        <f t="shared" ref="M45:M49" si="38">H45*L45</f>
        <v>0</v>
      </c>
      <c r="N45" s="105">
        <f t="shared" ref="N45:N49" si="39">M45+K45</f>
        <v>0</v>
      </c>
      <c r="O45" s="106"/>
    </row>
    <row r="46" spans="1:15">
      <c r="A46" s="160"/>
      <c r="B46" s="218"/>
      <c r="C46" s="219"/>
      <c r="D46" s="224" t="s">
        <v>206</v>
      </c>
      <c r="E46" s="240">
        <v>785.08799999999997</v>
      </c>
      <c r="F46" s="130" t="s">
        <v>98</v>
      </c>
      <c r="G46" s="100">
        <v>0.1</v>
      </c>
      <c r="H46" s="101">
        <f t="shared" si="36"/>
        <v>864</v>
      </c>
      <c r="I46" s="96"/>
      <c r="J46" s="97"/>
      <c r="K46" s="102">
        <f t="shared" si="37"/>
        <v>0</v>
      </c>
      <c r="L46" s="103"/>
      <c r="M46" s="104">
        <f t="shared" si="38"/>
        <v>0</v>
      </c>
      <c r="N46" s="105">
        <f t="shared" si="39"/>
        <v>0</v>
      </c>
      <c r="O46" s="106"/>
    </row>
    <row r="47" spans="1:15">
      <c r="A47" s="160"/>
      <c r="B47" s="218"/>
      <c r="C47" s="219"/>
      <c r="D47" s="224" t="s">
        <v>101</v>
      </c>
      <c r="E47" s="240">
        <v>1824.2069999999999</v>
      </c>
      <c r="F47" s="130" t="s">
        <v>98</v>
      </c>
      <c r="G47" s="100">
        <v>0.1</v>
      </c>
      <c r="H47" s="101">
        <f t="shared" si="36"/>
        <v>2007</v>
      </c>
      <c r="I47" s="96"/>
      <c r="J47" s="97"/>
      <c r="K47" s="102">
        <f t="shared" si="37"/>
        <v>0</v>
      </c>
      <c r="L47" s="103"/>
      <c r="M47" s="104">
        <f t="shared" si="38"/>
        <v>0</v>
      </c>
      <c r="N47" s="105">
        <f t="shared" si="39"/>
        <v>0</v>
      </c>
      <c r="O47" s="106"/>
    </row>
    <row r="48" spans="1:15">
      <c r="A48" s="160"/>
      <c r="B48" s="218"/>
      <c r="C48" s="219"/>
      <c r="D48" s="225" t="s">
        <v>159</v>
      </c>
      <c r="E48" s="240">
        <v>4874.9400000000005</v>
      </c>
      <c r="F48" s="130" t="s">
        <v>98</v>
      </c>
      <c r="G48" s="100">
        <v>0.1</v>
      </c>
      <c r="H48" s="101">
        <f t="shared" si="36"/>
        <v>5363</v>
      </c>
      <c r="I48" s="96"/>
      <c r="J48" s="97"/>
      <c r="K48" s="102">
        <f t="shared" si="37"/>
        <v>0</v>
      </c>
      <c r="L48" s="103"/>
      <c r="M48" s="104">
        <f t="shared" si="38"/>
        <v>0</v>
      </c>
      <c r="N48" s="105">
        <f t="shared" si="39"/>
        <v>0</v>
      </c>
      <c r="O48" s="106"/>
    </row>
    <row r="49" spans="1:15">
      <c r="A49" s="220"/>
      <c r="B49" s="218"/>
      <c r="C49" s="221"/>
      <c r="D49" s="226" t="s">
        <v>207</v>
      </c>
      <c r="E49" s="241">
        <f>259.34*3</f>
        <v>778.02</v>
      </c>
      <c r="F49" s="130" t="s">
        <v>27</v>
      </c>
      <c r="G49" s="100">
        <v>0.1</v>
      </c>
      <c r="H49" s="101">
        <f t="shared" si="36"/>
        <v>856</v>
      </c>
      <c r="I49" s="96"/>
      <c r="J49" s="97"/>
      <c r="K49" s="102">
        <f t="shared" si="37"/>
        <v>0</v>
      </c>
      <c r="L49" s="103"/>
      <c r="M49" s="104">
        <f t="shared" si="38"/>
        <v>0</v>
      </c>
      <c r="N49" s="105">
        <f t="shared" si="39"/>
        <v>0</v>
      </c>
      <c r="O49" s="106"/>
    </row>
    <row r="50" spans="1:15">
      <c r="A50" s="155"/>
      <c r="B50" s="115"/>
      <c r="C50" s="116"/>
      <c r="D50" s="222" t="s">
        <v>195</v>
      </c>
      <c r="E50" s="239">
        <v>3</v>
      </c>
      <c r="F50" s="119" t="s">
        <v>26</v>
      </c>
      <c r="G50" s="120"/>
      <c r="H50" s="121"/>
      <c r="I50" s="118"/>
      <c r="J50" s="122"/>
      <c r="K50" s="123"/>
      <c r="L50" s="124"/>
      <c r="M50" s="125"/>
      <c r="N50" s="126"/>
      <c r="O50" s="127"/>
    </row>
    <row r="51" spans="1:15">
      <c r="A51" s="160"/>
      <c r="B51" s="218"/>
      <c r="C51" s="219"/>
      <c r="D51" s="223" t="s">
        <v>144</v>
      </c>
      <c r="E51" s="240">
        <v>129.0320005975</v>
      </c>
      <c r="F51" s="130" t="s">
        <v>97</v>
      </c>
      <c r="G51" s="100">
        <v>0.1</v>
      </c>
      <c r="H51" s="101">
        <f t="shared" ref="H51:H54" si="40">ROUNDUP((E51*G51)+E51,0)</f>
        <v>142</v>
      </c>
      <c r="I51" s="96"/>
      <c r="J51" s="97"/>
      <c r="K51" s="102">
        <f t="shared" ref="K51:K54" si="41">I51*J51</f>
        <v>0</v>
      </c>
      <c r="L51" s="103"/>
      <c r="M51" s="104">
        <f t="shared" ref="M51:M54" si="42">H51*L51</f>
        <v>0</v>
      </c>
      <c r="N51" s="105">
        <f t="shared" ref="N51:N54" si="43">M51+K51</f>
        <v>0</v>
      </c>
      <c r="O51" s="106"/>
    </row>
    <row r="52" spans="1:15">
      <c r="A52" s="160"/>
      <c r="B52" s="218"/>
      <c r="C52" s="219"/>
      <c r="D52" s="224" t="s">
        <v>206</v>
      </c>
      <c r="E52" s="240">
        <v>180.48</v>
      </c>
      <c r="F52" s="130" t="s">
        <v>98</v>
      </c>
      <c r="G52" s="100">
        <v>0.1</v>
      </c>
      <c r="H52" s="101">
        <f t="shared" si="40"/>
        <v>199</v>
      </c>
      <c r="I52" s="96"/>
      <c r="J52" s="97"/>
      <c r="K52" s="102">
        <f t="shared" si="41"/>
        <v>0</v>
      </c>
      <c r="L52" s="103"/>
      <c r="M52" s="104">
        <f t="shared" si="42"/>
        <v>0</v>
      </c>
      <c r="N52" s="105">
        <f t="shared" si="43"/>
        <v>0</v>
      </c>
      <c r="O52" s="106"/>
    </row>
    <row r="53" spans="1:15">
      <c r="A53" s="160"/>
      <c r="B53" s="218"/>
      <c r="C53" s="219"/>
      <c r="D53" s="225" t="s">
        <v>159</v>
      </c>
      <c r="E53" s="240">
        <v>8449.8960000000006</v>
      </c>
      <c r="F53" s="130" t="s">
        <v>98</v>
      </c>
      <c r="G53" s="100">
        <v>0.1</v>
      </c>
      <c r="H53" s="101">
        <f t="shared" si="40"/>
        <v>9295</v>
      </c>
      <c r="I53" s="96"/>
      <c r="J53" s="97"/>
      <c r="K53" s="102">
        <f t="shared" si="41"/>
        <v>0</v>
      </c>
      <c r="L53" s="103"/>
      <c r="M53" s="104">
        <f t="shared" si="42"/>
        <v>0</v>
      </c>
      <c r="N53" s="105">
        <f t="shared" si="43"/>
        <v>0</v>
      </c>
      <c r="O53" s="106"/>
    </row>
    <row r="54" spans="1:15">
      <c r="A54" s="220"/>
      <c r="B54" s="218"/>
      <c r="C54" s="221"/>
      <c r="D54" s="226" t="s">
        <v>207</v>
      </c>
      <c r="E54" s="241">
        <f>256.83*3</f>
        <v>770.49</v>
      </c>
      <c r="F54" s="130" t="s">
        <v>27</v>
      </c>
      <c r="G54" s="100">
        <v>0.1</v>
      </c>
      <c r="H54" s="101">
        <f t="shared" si="40"/>
        <v>848</v>
      </c>
      <c r="I54" s="96"/>
      <c r="J54" s="97"/>
      <c r="K54" s="102">
        <f t="shared" si="41"/>
        <v>0</v>
      </c>
      <c r="L54" s="103"/>
      <c r="M54" s="104">
        <f t="shared" si="42"/>
        <v>0</v>
      </c>
      <c r="N54" s="105">
        <f t="shared" si="43"/>
        <v>0</v>
      </c>
      <c r="O54" s="106"/>
    </row>
    <row r="55" spans="1:15">
      <c r="A55" s="155"/>
      <c r="B55" s="115"/>
      <c r="C55" s="116"/>
      <c r="D55" s="222" t="s">
        <v>196</v>
      </c>
      <c r="E55" s="239">
        <v>4</v>
      </c>
      <c r="F55" s="119" t="s">
        <v>26</v>
      </c>
      <c r="G55" s="120"/>
      <c r="H55" s="121"/>
      <c r="I55" s="118"/>
      <c r="J55" s="122"/>
      <c r="K55" s="123"/>
      <c r="L55" s="124"/>
      <c r="M55" s="125"/>
      <c r="N55" s="126"/>
      <c r="O55" s="127"/>
    </row>
    <row r="56" spans="1:15">
      <c r="A56" s="160"/>
      <c r="B56" s="218"/>
      <c r="C56" s="219"/>
      <c r="D56" s="223" t="s">
        <v>144</v>
      </c>
      <c r="E56" s="240">
        <v>126.90450272500001</v>
      </c>
      <c r="F56" s="130" t="s">
        <v>97</v>
      </c>
      <c r="G56" s="100">
        <v>0.1</v>
      </c>
      <c r="H56" s="101">
        <f t="shared" ref="H56:H58" si="44">ROUNDUP((E56*G56)+E56,0)</f>
        <v>140</v>
      </c>
      <c r="I56" s="96"/>
      <c r="J56" s="97"/>
      <c r="K56" s="102">
        <f t="shared" ref="K56:K58" si="45">I56*J56</f>
        <v>0</v>
      </c>
      <c r="L56" s="103"/>
      <c r="M56" s="104">
        <f t="shared" ref="M56:M58" si="46">H56*L56</f>
        <v>0</v>
      </c>
      <c r="N56" s="105">
        <f t="shared" ref="N56:N58" si="47">M56+K56</f>
        <v>0</v>
      </c>
      <c r="O56" s="106"/>
    </row>
    <row r="57" spans="1:15">
      <c r="A57" s="160"/>
      <c r="B57" s="218"/>
      <c r="C57" s="219"/>
      <c r="D57" s="224" t="s">
        <v>159</v>
      </c>
      <c r="E57" s="240">
        <v>8666.56</v>
      </c>
      <c r="F57" s="130" t="s">
        <v>98</v>
      </c>
      <c r="G57" s="100">
        <v>0.1</v>
      </c>
      <c r="H57" s="101">
        <f t="shared" si="44"/>
        <v>9534</v>
      </c>
      <c r="I57" s="96"/>
      <c r="J57" s="97"/>
      <c r="K57" s="102">
        <f t="shared" si="45"/>
        <v>0</v>
      </c>
      <c r="L57" s="103"/>
      <c r="M57" s="104">
        <f t="shared" si="46"/>
        <v>0</v>
      </c>
      <c r="N57" s="105">
        <f t="shared" si="47"/>
        <v>0</v>
      </c>
      <c r="O57" s="106"/>
    </row>
    <row r="58" spans="1:15">
      <c r="A58" s="220"/>
      <c r="B58" s="218"/>
      <c r="C58" s="221"/>
      <c r="D58" s="226" t="s">
        <v>207</v>
      </c>
      <c r="E58" s="241">
        <f>244.83*4</f>
        <v>979.32</v>
      </c>
      <c r="F58" s="130" t="s">
        <v>27</v>
      </c>
      <c r="G58" s="100">
        <v>0.1</v>
      </c>
      <c r="H58" s="101">
        <f t="shared" si="44"/>
        <v>1078</v>
      </c>
      <c r="I58" s="96"/>
      <c r="J58" s="97"/>
      <c r="K58" s="102">
        <f t="shared" si="45"/>
        <v>0</v>
      </c>
      <c r="L58" s="103"/>
      <c r="M58" s="104">
        <f t="shared" si="46"/>
        <v>0</v>
      </c>
      <c r="N58" s="105">
        <f t="shared" si="47"/>
        <v>0</v>
      </c>
      <c r="O58" s="106"/>
    </row>
    <row r="59" spans="1:15">
      <c r="A59" s="155"/>
      <c r="B59" s="115"/>
      <c r="C59" s="116"/>
      <c r="D59" s="222" t="s">
        <v>197</v>
      </c>
      <c r="E59" s="239">
        <v>2</v>
      </c>
      <c r="F59" s="119" t="s">
        <v>26</v>
      </c>
      <c r="G59" s="120"/>
      <c r="H59" s="121"/>
      <c r="I59" s="118"/>
      <c r="J59" s="122"/>
      <c r="K59" s="123"/>
      <c r="L59" s="124"/>
      <c r="M59" s="125"/>
      <c r="N59" s="126"/>
      <c r="O59" s="127"/>
    </row>
    <row r="60" spans="1:15">
      <c r="A60" s="160"/>
      <c r="B60" s="218"/>
      <c r="C60" s="219"/>
      <c r="D60" s="223" t="s">
        <v>144</v>
      </c>
      <c r="E60" s="240">
        <v>63.357837876666672</v>
      </c>
      <c r="F60" s="130" t="s">
        <v>97</v>
      </c>
      <c r="G60" s="100">
        <v>0.1</v>
      </c>
      <c r="H60" s="101">
        <f t="shared" ref="H60:H62" si="48">ROUNDUP((E60*G60)+E60,0)</f>
        <v>70</v>
      </c>
      <c r="I60" s="96"/>
      <c r="J60" s="97"/>
      <c r="K60" s="102">
        <f t="shared" ref="K60:K62" si="49">I60*J60</f>
        <v>0</v>
      </c>
      <c r="L60" s="103"/>
      <c r="M60" s="104">
        <f t="shared" ref="M60:M62" si="50">H60*L60</f>
        <v>0</v>
      </c>
      <c r="N60" s="105">
        <f t="shared" ref="N60:N62" si="51">M60+K60</f>
        <v>0</v>
      </c>
      <c r="O60" s="106"/>
    </row>
    <row r="61" spans="1:15">
      <c r="A61" s="160"/>
      <c r="B61" s="218"/>
      <c r="C61" s="219"/>
      <c r="D61" s="224" t="s">
        <v>159</v>
      </c>
      <c r="E61" s="240">
        <v>1808.5619999999999</v>
      </c>
      <c r="F61" s="130" t="s">
        <v>98</v>
      </c>
      <c r="G61" s="100">
        <v>0.1</v>
      </c>
      <c r="H61" s="101">
        <f t="shared" si="48"/>
        <v>1990</v>
      </c>
      <c r="I61" s="96"/>
      <c r="J61" s="97"/>
      <c r="K61" s="102">
        <f t="shared" si="49"/>
        <v>0</v>
      </c>
      <c r="L61" s="103"/>
      <c r="M61" s="104">
        <f t="shared" si="50"/>
        <v>0</v>
      </c>
      <c r="N61" s="105">
        <f t="shared" si="51"/>
        <v>0</v>
      </c>
      <c r="O61" s="106"/>
    </row>
    <row r="62" spans="1:15">
      <c r="A62" s="220"/>
      <c r="B62" s="218"/>
      <c r="C62" s="221"/>
      <c r="D62" s="226" t="s">
        <v>207</v>
      </c>
      <c r="E62" s="241">
        <f>137*2</f>
        <v>274</v>
      </c>
      <c r="F62" s="130" t="s">
        <v>27</v>
      </c>
      <c r="G62" s="100">
        <v>0.1</v>
      </c>
      <c r="H62" s="101">
        <f t="shared" si="48"/>
        <v>302</v>
      </c>
      <c r="I62" s="96"/>
      <c r="J62" s="97"/>
      <c r="K62" s="102">
        <f t="shared" si="49"/>
        <v>0</v>
      </c>
      <c r="L62" s="103"/>
      <c r="M62" s="104">
        <f t="shared" si="50"/>
        <v>0</v>
      </c>
      <c r="N62" s="105">
        <f t="shared" si="51"/>
        <v>0</v>
      </c>
      <c r="O62" s="106"/>
    </row>
    <row r="63" spans="1:15">
      <c r="A63" s="155"/>
      <c r="B63" s="115"/>
      <c r="C63" s="116"/>
      <c r="D63" s="222" t="s">
        <v>198</v>
      </c>
      <c r="E63" s="239">
        <v>31</v>
      </c>
      <c r="F63" s="119" t="s">
        <v>26</v>
      </c>
      <c r="G63" s="120"/>
      <c r="H63" s="121"/>
      <c r="I63" s="118"/>
      <c r="J63" s="122"/>
      <c r="K63" s="123"/>
      <c r="L63" s="124"/>
      <c r="M63" s="125"/>
      <c r="N63" s="126"/>
      <c r="O63" s="127"/>
    </row>
    <row r="64" spans="1:15">
      <c r="A64" s="160"/>
      <c r="B64" s="218"/>
      <c r="C64" s="219"/>
      <c r="D64" s="223" t="s">
        <v>144</v>
      </c>
      <c r="E64" s="240">
        <v>943.51371697916682</v>
      </c>
      <c r="F64" s="130" t="s">
        <v>97</v>
      </c>
      <c r="G64" s="100">
        <v>0.1</v>
      </c>
      <c r="H64" s="101">
        <f t="shared" ref="H64:H68" si="52">ROUNDUP((E64*G64)+E64,0)</f>
        <v>1038</v>
      </c>
      <c r="I64" s="96"/>
      <c r="J64" s="97"/>
      <c r="K64" s="102">
        <f t="shared" ref="K64:K68" si="53">I64*J64</f>
        <v>0</v>
      </c>
      <c r="L64" s="103"/>
      <c r="M64" s="104">
        <f t="shared" ref="M64:M68" si="54">H64*L64</f>
        <v>0</v>
      </c>
      <c r="N64" s="105">
        <f t="shared" ref="N64:N68" si="55">M64+K64</f>
        <v>0</v>
      </c>
      <c r="O64" s="106"/>
    </row>
    <row r="65" spans="1:15">
      <c r="A65" s="160"/>
      <c r="B65" s="218"/>
      <c r="C65" s="219"/>
      <c r="D65" s="224" t="s">
        <v>206</v>
      </c>
      <c r="E65" s="240">
        <v>1719.26</v>
      </c>
      <c r="F65" s="130" t="s">
        <v>98</v>
      </c>
      <c r="G65" s="100">
        <v>0.1</v>
      </c>
      <c r="H65" s="101">
        <f t="shared" si="52"/>
        <v>1892</v>
      </c>
      <c r="I65" s="96"/>
      <c r="J65" s="97"/>
      <c r="K65" s="102">
        <f t="shared" si="53"/>
        <v>0</v>
      </c>
      <c r="L65" s="103"/>
      <c r="M65" s="104">
        <f t="shared" si="54"/>
        <v>0</v>
      </c>
      <c r="N65" s="105">
        <f t="shared" si="55"/>
        <v>0</v>
      </c>
      <c r="O65" s="106"/>
    </row>
    <row r="66" spans="1:15">
      <c r="A66" s="160"/>
      <c r="B66" s="218"/>
      <c r="C66" s="219"/>
      <c r="D66" s="224" t="s">
        <v>101</v>
      </c>
      <c r="E66" s="240">
        <v>22180.437999999998</v>
      </c>
      <c r="F66" s="130" t="s">
        <v>98</v>
      </c>
      <c r="G66" s="100">
        <v>0.1</v>
      </c>
      <c r="H66" s="101">
        <f t="shared" si="52"/>
        <v>24399</v>
      </c>
      <c r="I66" s="96"/>
      <c r="J66" s="97"/>
      <c r="K66" s="102">
        <f t="shared" si="53"/>
        <v>0</v>
      </c>
      <c r="L66" s="103"/>
      <c r="M66" s="104">
        <f t="shared" si="54"/>
        <v>0</v>
      </c>
      <c r="N66" s="105">
        <f t="shared" si="55"/>
        <v>0</v>
      </c>
      <c r="O66" s="106"/>
    </row>
    <row r="67" spans="1:15">
      <c r="A67" s="160"/>
      <c r="B67" s="218"/>
      <c r="C67" s="219"/>
      <c r="D67" s="225" t="s">
        <v>159</v>
      </c>
      <c r="E67" s="240">
        <v>12419.344000000001</v>
      </c>
      <c r="F67" s="130" t="s">
        <v>98</v>
      </c>
      <c r="G67" s="100">
        <v>0.1</v>
      </c>
      <c r="H67" s="101">
        <f t="shared" si="52"/>
        <v>13662</v>
      </c>
      <c r="I67" s="96"/>
      <c r="J67" s="97"/>
      <c r="K67" s="102">
        <f t="shared" si="53"/>
        <v>0</v>
      </c>
      <c r="L67" s="103"/>
      <c r="M67" s="104">
        <f t="shared" si="54"/>
        <v>0</v>
      </c>
      <c r="N67" s="105">
        <f t="shared" si="55"/>
        <v>0</v>
      </c>
      <c r="O67" s="106"/>
    </row>
    <row r="68" spans="1:15">
      <c r="A68" s="220"/>
      <c r="B68" s="218"/>
      <c r="C68" s="221"/>
      <c r="D68" s="226" t="s">
        <v>207</v>
      </c>
      <c r="E68" s="241">
        <f>133*31</f>
        <v>4123</v>
      </c>
      <c r="F68" s="130" t="s">
        <v>27</v>
      </c>
      <c r="G68" s="100">
        <v>0.1</v>
      </c>
      <c r="H68" s="101">
        <f t="shared" si="52"/>
        <v>4536</v>
      </c>
      <c r="I68" s="96"/>
      <c r="J68" s="97"/>
      <c r="K68" s="102">
        <f t="shared" si="53"/>
        <v>0</v>
      </c>
      <c r="L68" s="103"/>
      <c r="M68" s="104">
        <f t="shared" si="54"/>
        <v>0</v>
      </c>
      <c r="N68" s="105">
        <f t="shared" si="55"/>
        <v>0</v>
      </c>
      <c r="O68" s="106"/>
    </row>
    <row r="69" spans="1:15">
      <c r="A69" s="155"/>
      <c r="B69" s="115"/>
      <c r="C69" s="116"/>
      <c r="D69" s="222" t="s">
        <v>199</v>
      </c>
      <c r="E69" s="239">
        <v>1</v>
      </c>
      <c r="F69" s="119" t="s">
        <v>26</v>
      </c>
      <c r="G69" s="120"/>
      <c r="H69" s="121"/>
      <c r="I69" s="118"/>
      <c r="J69" s="122"/>
      <c r="K69" s="123"/>
      <c r="L69" s="124"/>
      <c r="M69" s="125"/>
      <c r="N69" s="126"/>
      <c r="O69" s="127"/>
    </row>
    <row r="70" spans="1:15">
      <c r="A70" s="160"/>
      <c r="B70" s="218"/>
      <c r="C70" s="219"/>
      <c r="D70" s="223" t="s">
        <v>144</v>
      </c>
      <c r="E70" s="240">
        <v>25.488446733750003</v>
      </c>
      <c r="F70" s="130" t="s">
        <v>97</v>
      </c>
      <c r="G70" s="100">
        <v>0.1</v>
      </c>
      <c r="H70" s="101">
        <f t="shared" ref="H70:H72" si="56">ROUNDUP((E70*G70)+E70,0)</f>
        <v>29</v>
      </c>
      <c r="I70" s="96"/>
      <c r="J70" s="97"/>
      <c r="K70" s="102">
        <f t="shared" ref="K70:K72" si="57">I70*J70</f>
        <v>0</v>
      </c>
      <c r="L70" s="103"/>
      <c r="M70" s="104">
        <f t="shared" ref="M70:M72" si="58">H70*L70</f>
        <v>0</v>
      </c>
      <c r="N70" s="105">
        <f t="shared" ref="N70:N72" si="59">M70+K70</f>
        <v>0</v>
      </c>
      <c r="O70" s="106"/>
    </row>
    <row r="71" spans="1:15">
      <c r="A71" s="160"/>
      <c r="B71" s="218"/>
      <c r="C71" s="219"/>
      <c r="D71" s="225" t="s">
        <v>159</v>
      </c>
      <c r="E71" s="240">
        <v>625.46400000000006</v>
      </c>
      <c r="F71" s="130" t="s">
        <v>98</v>
      </c>
      <c r="G71" s="100">
        <v>0.1</v>
      </c>
      <c r="H71" s="101">
        <f t="shared" si="56"/>
        <v>689</v>
      </c>
      <c r="I71" s="96"/>
      <c r="J71" s="97"/>
      <c r="K71" s="102">
        <f t="shared" si="57"/>
        <v>0</v>
      </c>
      <c r="L71" s="103"/>
      <c r="M71" s="104">
        <f t="shared" si="58"/>
        <v>0</v>
      </c>
      <c r="N71" s="105">
        <f t="shared" si="59"/>
        <v>0</v>
      </c>
      <c r="O71" s="106"/>
    </row>
    <row r="72" spans="1:15">
      <c r="A72" s="220"/>
      <c r="B72" s="218"/>
      <c r="C72" s="221"/>
      <c r="D72" s="226" t="s">
        <v>207</v>
      </c>
      <c r="E72" s="241">
        <f>190.33</f>
        <v>190.33</v>
      </c>
      <c r="F72" s="130" t="s">
        <v>27</v>
      </c>
      <c r="G72" s="100">
        <v>0.1</v>
      </c>
      <c r="H72" s="101">
        <f t="shared" si="56"/>
        <v>210</v>
      </c>
      <c r="I72" s="96"/>
      <c r="J72" s="97"/>
      <c r="K72" s="102">
        <f t="shared" si="57"/>
        <v>0</v>
      </c>
      <c r="L72" s="103"/>
      <c r="M72" s="104">
        <f t="shared" si="58"/>
        <v>0</v>
      </c>
      <c r="N72" s="105">
        <f t="shared" si="59"/>
        <v>0</v>
      </c>
      <c r="O72" s="106"/>
    </row>
    <row r="73" spans="1:15">
      <c r="A73" s="155"/>
      <c r="B73" s="115"/>
      <c r="C73" s="116"/>
      <c r="D73" s="222" t="s">
        <v>200</v>
      </c>
      <c r="E73" s="239">
        <v>1</v>
      </c>
      <c r="F73" s="119" t="s">
        <v>26</v>
      </c>
      <c r="G73" s="120"/>
      <c r="H73" s="121"/>
      <c r="I73" s="118"/>
      <c r="J73" s="122"/>
      <c r="K73" s="123"/>
      <c r="L73" s="124"/>
      <c r="M73" s="125"/>
      <c r="N73" s="126"/>
      <c r="O73" s="127"/>
    </row>
    <row r="74" spans="1:15">
      <c r="A74" s="160"/>
      <c r="B74" s="218"/>
      <c r="C74" s="219"/>
      <c r="D74" s="223" t="s">
        <v>144</v>
      </c>
      <c r="E74" s="240">
        <v>24.200377034166667</v>
      </c>
      <c r="F74" s="130" t="s">
        <v>97</v>
      </c>
      <c r="G74" s="100">
        <v>0.1</v>
      </c>
      <c r="H74" s="101">
        <f t="shared" ref="H74:H77" si="60">ROUNDUP((E74*G74)+E74,0)</f>
        <v>27</v>
      </c>
      <c r="I74" s="96"/>
      <c r="J74" s="97"/>
      <c r="K74" s="102">
        <f t="shared" ref="K74:K77" si="61">I74*J74</f>
        <v>0</v>
      </c>
      <c r="L74" s="103"/>
      <c r="M74" s="104">
        <f t="shared" ref="M74:M77" si="62">H74*L74</f>
        <v>0</v>
      </c>
      <c r="N74" s="105">
        <f t="shared" ref="N74:N77" si="63">M74+K74</f>
        <v>0</v>
      </c>
      <c r="O74" s="106"/>
    </row>
    <row r="75" spans="1:15">
      <c r="A75" s="160"/>
      <c r="B75" s="218"/>
      <c r="C75" s="219"/>
      <c r="D75" s="224" t="s">
        <v>206</v>
      </c>
      <c r="E75" s="240">
        <v>57.678400000000003</v>
      </c>
      <c r="F75" s="130" t="s">
        <v>98</v>
      </c>
      <c r="G75" s="100">
        <v>0.1</v>
      </c>
      <c r="H75" s="101">
        <f t="shared" si="60"/>
        <v>64</v>
      </c>
      <c r="I75" s="96"/>
      <c r="J75" s="97"/>
      <c r="K75" s="102">
        <f t="shared" si="61"/>
        <v>0</v>
      </c>
      <c r="L75" s="103"/>
      <c r="M75" s="104">
        <f t="shared" si="62"/>
        <v>0</v>
      </c>
      <c r="N75" s="105">
        <f t="shared" si="63"/>
        <v>0</v>
      </c>
      <c r="O75" s="106"/>
    </row>
    <row r="76" spans="1:15">
      <c r="A76" s="160"/>
      <c r="B76" s="218"/>
      <c r="C76" s="219"/>
      <c r="D76" s="225" t="s">
        <v>159</v>
      </c>
      <c r="E76" s="240">
        <v>701.09199999999998</v>
      </c>
      <c r="F76" s="130" t="s">
        <v>98</v>
      </c>
      <c r="G76" s="100">
        <v>0.1</v>
      </c>
      <c r="H76" s="101">
        <f t="shared" si="60"/>
        <v>772</v>
      </c>
      <c r="I76" s="96"/>
      <c r="J76" s="97"/>
      <c r="K76" s="102">
        <f t="shared" si="61"/>
        <v>0</v>
      </c>
      <c r="L76" s="103"/>
      <c r="M76" s="104">
        <f t="shared" si="62"/>
        <v>0</v>
      </c>
      <c r="N76" s="105">
        <f t="shared" si="63"/>
        <v>0</v>
      </c>
      <c r="O76" s="106"/>
    </row>
    <row r="77" spans="1:15">
      <c r="A77" s="220"/>
      <c r="B77" s="218"/>
      <c r="C77" s="221"/>
      <c r="D77" s="226" t="s">
        <v>207</v>
      </c>
      <c r="E77" s="241">
        <f>163.33</f>
        <v>163.33000000000001</v>
      </c>
      <c r="F77" s="130" t="s">
        <v>27</v>
      </c>
      <c r="G77" s="100">
        <v>0.1</v>
      </c>
      <c r="H77" s="101">
        <f t="shared" si="60"/>
        <v>180</v>
      </c>
      <c r="I77" s="96"/>
      <c r="J77" s="97"/>
      <c r="K77" s="102">
        <f t="shared" si="61"/>
        <v>0</v>
      </c>
      <c r="L77" s="103"/>
      <c r="M77" s="104">
        <f t="shared" si="62"/>
        <v>0</v>
      </c>
      <c r="N77" s="105">
        <f t="shared" si="63"/>
        <v>0</v>
      </c>
      <c r="O77" s="106"/>
    </row>
    <row r="78" spans="1:15">
      <c r="A78" s="155"/>
      <c r="B78" s="115"/>
      <c r="C78" s="116"/>
      <c r="D78" s="222" t="s">
        <v>201</v>
      </c>
      <c r="E78" s="239">
        <v>1</v>
      </c>
      <c r="F78" s="119" t="s">
        <v>26</v>
      </c>
      <c r="G78" s="120"/>
      <c r="H78" s="121"/>
      <c r="I78" s="118"/>
      <c r="J78" s="122"/>
      <c r="K78" s="123"/>
      <c r="L78" s="124"/>
      <c r="M78" s="125"/>
      <c r="N78" s="126"/>
      <c r="O78" s="127"/>
    </row>
    <row r="79" spans="1:15">
      <c r="A79" s="160"/>
      <c r="B79" s="218"/>
      <c r="C79" s="219"/>
      <c r="D79" s="223" t="s">
        <v>144</v>
      </c>
      <c r="E79" s="240">
        <v>43.875295630833335</v>
      </c>
      <c r="F79" s="130" t="s">
        <v>97</v>
      </c>
      <c r="G79" s="100">
        <v>0.1</v>
      </c>
      <c r="H79" s="101">
        <f t="shared" ref="H79:H83" si="64">ROUNDUP((E79*G79)+E79,0)</f>
        <v>49</v>
      </c>
      <c r="I79" s="96"/>
      <c r="J79" s="97"/>
      <c r="K79" s="102">
        <f t="shared" ref="K79:K83" si="65">I79*J79</f>
        <v>0</v>
      </c>
      <c r="L79" s="103"/>
      <c r="M79" s="104">
        <f t="shared" ref="M79:M83" si="66">H79*L79</f>
        <v>0</v>
      </c>
      <c r="N79" s="105">
        <f t="shared" ref="N79:N83" si="67">M79+K79</f>
        <v>0</v>
      </c>
      <c r="O79" s="106"/>
    </row>
    <row r="80" spans="1:15">
      <c r="A80" s="160"/>
      <c r="B80" s="218"/>
      <c r="C80" s="219"/>
      <c r="D80" s="224" t="s">
        <v>206</v>
      </c>
      <c r="E80" s="240">
        <v>60.16</v>
      </c>
      <c r="F80" s="130" t="s">
        <v>98</v>
      </c>
      <c r="G80" s="100">
        <v>0.1</v>
      </c>
      <c r="H80" s="101">
        <f t="shared" si="64"/>
        <v>67</v>
      </c>
      <c r="I80" s="96"/>
      <c r="J80" s="97"/>
      <c r="K80" s="102">
        <f t="shared" si="65"/>
        <v>0</v>
      </c>
      <c r="L80" s="103"/>
      <c r="M80" s="104">
        <f t="shared" si="66"/>
        <v>0</v>
      </c>
      <c r="N80" s="105">
        <f t="shared" si="67"/>
        <v>0</v>
      </c>
      <c r="O80" s="106"/>
    </row>
    <row r="81" spans="1:15">
      <c r="A81" s="160"/>
      <c r="B81" s="218"/>
      <c r="C81" s="219"/>
      <c r="D81" s="224" t="s">
        <v>101</v>
      </c>
      <c r="E81" s="240">
        <v>1326.6959999999999</v>
      </c>
      <c r="F81" s="130" t="s">
        <v>98</v>
      </c>
      <c r="G81" s="100">
        <v>0.1</v>
      </c>
      <c r="H81" s="101">
        <f t="shared" si="64"/>
        <v>1460</v>
      </c>
      <c r="I81" s="96"/>
      <c r="J81" s="97"/>
      <c r="K81" s="102">
        <f t="shared" si="65"/>
        <v>0</v>
      </c>
      <c r="L81" s="103"/>
      <c r="M81" s="104">
        <f t="shared" si="66"/>
        <v>0</v>
      </c>
      <c r="N81" s="105">
        <f t="shared" si="67"/>
        <v>0</v>
      </c>
      <c r="O81" s="106"/>
    </row>
    <row r="82" spans="1:15">
      <c r="A82" s="160"/>
      <c r="B82" s="218"/>
      <c r="C82" s="219"/>
      <c r="D82" s="225" t="s">
        <v>159</v>
      </c>
      <c r="E82" s="240">
        <v>433.32800000000003</v>
      </c>
      <c r="F82" s="130" t="s">
        <v>98</v>
      </c>
      <c r="G82" s="100">
        <v>0.1</v>
      </c>
      <c r="H82" s="101">
        <f t="shared" si="64"/>
        <v>477</v>
      </c>
      <c r="I82" s="96"/>
      <c r="J82" s="97"/>
      <c r="K82" s="102">
        <f t="shared" si="65"/>
        <v>0</v>
      </c>
      <c r="L82" s="103"/>
      <c r="M82" s="104">
        <f t="shared" si="66"/>
        <v>0</v>
      </c>
      <c r="N82" s="105">
        <f t="shared" si="67"/>
        <v>0</v>
      </c>
      <c r="O82" s="106"/>
    </row>
    <row r="83" spans="1:15">
      <c r="A83" s="160"/>
      <c r="B83" s="218"/>
      <c r="C83" s="219"/>
      <c r="D83" s="226" t="s">
        <v>207</v>
      </c>
      <c r="E83" s="241">
        <v>210.67</v>
      </c>
      <c r="F83" s="130" t="s">
        <v>27</v>
      </c>
      <c r="G83" s="100">
        <v>0.1</v>
      </c>
      <c r="H83" s="101">
        <f t="shared" si="64"/>
        <v>232</v>
      </c>
      <c r="I83" s="96"/>
      <c r="J83" s="97"/>
      <c r="K83" s="102">
        <f t="shared" si="65"/>
        <v>0</v>
      </c>
      <c r="L83" s="103"/>
      <c r="M83" s="104">
        <f t="shared" si="66"/>
        <v>0</v>
      </c>
      <c r="N83" s="105">
        <f t="shared" si="67"/>
        <v>0</v>
      </c>
      <c r="O83" s="106"/>
    </row>
    <row r="84" spans="1:15">
      <c r="A84" s="166"/>
      <c r="B84" s="169"/>
      <c r="C84" s="162"/>
      <c r="D84" s="235"/>
      <c r="E84" s="228"/>
      <c r="F84" s="112"/>
      <c r="G84" s="113"/>
      <c r="H84" s="114"/>
      <c r="I84" s="108"/>
      <c r="J84" s="113"/>
      <c r="K84" s="114"/>
      <c r="L84" s="108"/>
      <c r="M84" s="114"/>
      <c r="N84" s="108"/>
      <c r="O84" s="114"/>
    </row>
    <row r="85" spans="1:15">
      <c r="A85" s="160"/>
      <c r="B85" s="218"/>
      <c r="C85" s="219"/>
      <c r="D85" s="236"/>
      <c r="E85" s="129"/>
      <c r="F85" s="130"/>
      <c r="G85" s="100">
        <v>0</v>
      </c>
      <c r="H85" s="101">
        <f t="shared" ref="H85:H87" si="68">ROUNDUP((E85*G85)+E85,0)</f>
        <v>0</v>
      </c>
      <c r="I85" s="96"/>
      <c r="J85" s="97"/>
      <c r="K85" s="102">
        <f t="shared" ref="K85:K87" si="69">I85*J85</f>
        <v>0</v>
      </c>
      <c r="L85" s="103"/>
      <c r="M85" s="104">
        <f t="shared" ref="M85:M87" si="70">H85*L85</f>
        <v>0</v>
      </c>
      <c r="N85" s="105">
        <f t="shared" ref="N85:N87" si="71">M85+K85</f>
        <v>0</v>
      </c>
      <c r="O85" s="106"/>
    </row>
    <row r="86" spans="1:15">
      <c r="A86" s="160"/>
      <c r="B86" s="218"/>
      <c r="C86" s="219"/>
      <c r="D86" s="236"/>
      <c r="E86" s="151"/>
      <c r="F86" s="130"/>
      <c r="G86" s="100">
        <v>0</v>
      </c>
      <c r="H86" s="101">
        <f t="shared" si="68"/>
        <v>0</v>
      </c>
      <c r="I86" s="96"/>
      <c r="J86" s="97"/>
      <c r="K86" s="102">
        <f t="shared" si="69"/>
        <v>0</v>
      </c>
      <c r="L86" s="103"/>
      <c r="M86" s="104">
        <f t="shared" si="70"/>
        <v>0</v>
      </c>
      <c r="N86" s="105">
        <f t="shared" si="71"/>
        <v>0</v>
      </c>
      <c r="O86" s="106"/>
    </row>
    <row r="87" spans="1:15">
      <c r="A87" s="160"/>
      <c r="B87" s="218"/>
      <c r="C87" s="219"/>
      <c r="D87" s="236"/>
      <c r="E87" s="151"/>
      <c r="F87" s="130"/>
      <c r="G87" s="100">
        <v>0</v>
      </c>
      <c r="H87" s="101">
        <f t="shared" si="68"/>
        <v>0</v>
      </c>
      <c r="I87" s="96"/>
      <c r="J87" s="97"/>
      <c r="K87" s="102">
        <f t="shared" si="69"/>
        <v>0</v>
      </c>
      <c r="L87" s="103"/>
      <c r="M87" s="104">
        <f t="shared" si="70"/>
        <v>0</v>
      </c>
      <c r="N87" s="105">
        <f t="shared" si="71"/>
        <v>0</v>
      </c>
      <c r="O87" s="106"/>
    </row>
    <row r="88" spans="1:15">
      <c r="A88" s="38"/>
      <c r="B88" s="39"/>
      <c r="C88" s="131"/>
      <c r="D88" s="237"/>
      <c r="E88" s="133"/>
      <c r="F88" s="41"/>
      <c r="G88" s="43"/>
      <c r="H88" s="134"/>
      <c r="I88" s="135"/>
      <c r="J88" s="43"/>
      <c r="K88" s="136"/>
      <c r="L88" s="137"/>
      <c r="M88" s="136" t="s">
        <v>29</v>
      </c>
      <c r="N88" s="135"/>
      <c r="O88" s="45">
        <f>SUM(O5:O87)</f>
        <v>0</v>
      </c>
    </row>
    <row r="89" spans="1:15" ht="15" thickBot="1">
      <c r="A89" s="46"/>
      <c r="B89" s="47"/>
      <c r="C89" s="138"/>
      <c r="D89" s="238"/>
      <c r="E89" s="140"/>
      <c r="F89" s="49"/>
      <c r="G89" s="51"/>
      <c r="H89" s="141"/>
      <c r="I89" s="142"/>
      <c r="J89" s="51"/>
      <c r="K89" s="143"/>
      <c r="L89" s="144"/>
      <c r="M89" s="143" t="s">
        <v>30</v>
      </c>
      <c r="N89" s="145"/>
      <c r="O89" s="54">
        <f>SUM(O88:O88)</f>
        <v>0</v>
      </c>
    </row>
  </sheetData>
  <mergeCells count="12">
    <mergeCell ref="K2:K3"/>
    <mergeCell ref="L2:L3"/>
    <mergeCell ref="M2:M3"/>
    <mergeCell ref="N2:N3"/>
    <mergeCell ref="O2:O3"/>
    <mergeCell ref="A3:C3"/>
    <mergeCell ref="A2:C2"/>
    <mergeCell ref="E2:F3"/>
    <mergeCell ref="G2:G3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A28" sqref="A28:XFD28"/>
    </sheetView>
  </sheetViews>
  <sheetFormatPr defaultRowHeight="14.5"/>
  <cols>
    <col min="2" max="2" width="9.81640625" bestFit="1" customWidth="1"/>
    <col min="3" max="3" width="4.1796875" bestFit="1" customWidth="1"/>
    <col min="5" max="5" width="9.36328125" bestFit="1" customWidth="1"/>
  </cols>
  <sheetData>
    <row r="1" spans="1:6">
      <c r="A1" t="s">
        <v>184</v>
      </c>
      <c r="B1" t="s">
        <v>185</v>
      </c>
      <c r="C1" t="s">
        <v>11</v>
      </c>
      <c r="D1" t="s">
        <v>187</v>
      </c>
      <c r="E1" t="s">
        <v>186</v>
      </c>
      <c r="F1" t="s">
        <v>97</v>
      </c>
    </row>
    <row r="2" spans="1:6">
      <c r="A2" t="s">
        <v>188</v>
      </c>
      <c r="B2" s="217">
        <f>10.75/12</f>
        <v>0.89583333333333337</v>
      </c>
      <c r="C2">
        <v>8</v>
      </c>
      <c r="D2">
        <v>1099.17</v>
      </c>
      <c r="E2" s="217">
        <f>B2*C2*D2</f>
        <v>7877.3850000000011</v>
      </c>
      <c r="F2" s="217">
        <f>E2*0.037037</f>
        <v>291.75470824500002</v>
      </c>
    </row>
    <row r="3" spans="1:6">
      <c r="A3" t="s">
        <v>189</v>
      </c>
      <c r="B3" s="217">
        <f t="shared" ref="B3:B8" si="0">10.75/12</f>
        <v>0.89583333333333337</v>
      </c>
      <c r="C3">
        <v>8</v>
      </c>
      <c r="D3">
        <v>1324.95</v>
      </c>
      <c r="E3" s="217">
        <f t="shared" ref="E3:E15" si="1">B3*C3*D3</f>
        <v>9495.4750000000004</v>
      </c>
      <c r="F3" s="217">
        <f t="shared" ref="F3:F15" si="2">E3*0.037037</f>
        <v>351.68390757500003</v>
      </c>
    </row>
    <row r="4" spans="1:6">
      <c r="A4" t="s">
        <v>190</v>
      </c>
      <c r="B4" s="217">
        <f t="shared" si="0"/>
        <v>0.89583333333333337</v>
      </c>
      <c r="C4">
        <v>4</v>
      </c>
      <c r="D4">
        <v>570.92999999999995</v>
      </c>
      <c r="E4" s="217">
        <f t="shared" si="1"/>
        <v>2045.8325</v>
      </c>
      <c r="F4" s="217">
        <f t="shared" si="2"/>
        <v>75.771498302500007</v>
      </c>
    </row>
    <row r="5" spans="1:6">
      <c r="A5" t="s">
        <v>191</v>
      </c>
      <c r="B5" s="217">
        <f t="shared" si="0"/>
        <v>0.89583333333333337</v>
      </c>
      <c r="C5">
        <v>11</v>
      </c>
      <c r="D5">
        <v>1108.8900000000001</v>
      </c>
      <c r="E5" s="217">
        <f t="shared" si="1"/>
        <v>10927.186875000003</v>
      </c>
      <c r="F5" s="217">
        <f t="shared" si="2"/>
        <v>404.71022028937512</v>
      </c>
    </row>
    <row r="6" spans="1:6">
      <c r="A6" t="s">
        <v>192</v>
      </c>
      <c r="B6" s="217">
        <f t="shared" si="0"/>
        <v>0.89583333333333337</v>
      </c>
      <c r="C6">
        <v>3</v>
      </c>
      <c r="D6">
        <v>912.44</v>
      </c>
      <c r="E6" s="217">
        <f t="shared" si="1"/>
        <v>2452.1825000000003</v>
      </c>
      <c r="F6" s="217">
        <f t="shared" si="2"/>
        <v>90.821483252500016</v>
      </c>
    </row>
    <row r="7" spans="1:6">
      <c r="A7" t="s">
        <v>193</v>
      </c>
      <c r="B7" s="217">
        <f t="shared" si="0"/>
        <v>0.89583333333333337</v>
      </c>
      <c r="C7">
        <v>116</v>
      </c>
      <c r="D7">
        <v>1061.24</v>
      </c>
      <c r="E7" s="217">
        <f t="shared" si="1"/>
        <v>110280.52333333335</v>
      </c>
      <c r="F7" s="217">
        <f t="shared" si="2"/>
        <v>4084.459742696667</v>
      </c>
    </row>
    <row r="8" spans="1:6">
      <c r="A8" t="s">
        <v>194</v>
      </c>
      <c r="B8" s="217">
        <f>11.5/12</f>
        <v>0.95833333333333337</v>
      </c>
      <c r="C8">
        <v>3</v>
      </c>
      <c r="D8">
        <v>1057.99</v>
      </c>
      <c r="E8" s="217">
        <f t="shared" si="1"/>
        <v>3041.7212500000001</v>
      </c>
      <c r="F8" s="217">
        <f t="shared" si="2"/>
        <v>112.65622993625</v>
      </c>
    </row>
    <row r="9" spans="1:6">
      <c r="A9" t="s">
        <v>195</v>
      </c>
      <c r="B9" s="217">
        <f t="shared" ref="B9:B15" si="3">11.5/12</f>
        <v>0.95833333333333337</v>
      </c>
      <c r="C9">
        <v>3</v>
      </c>
      <c r="D9">
        <v>1211.78</v>
      </c>
      <c r="E9" s="217">
        <f t="shared" si="1"/>
        <v>3483.8674999999998</v>
      </c>
      <c r="F9" s="217">
        <f t="shared" si="2"/>
        <v>129.0320005975</v>
      </c>
    </row>
    <row r="10" spans="1:6">
      <c r="A10" t="s">
        <v>196</v>
      </c>
      <c r="B10" s="217">
        <f t="shared" si="3"/>
        <v>0.95833333333333337</v>
      </c>
      <c r="C10">
        <v>4</v>
      </c>
      <c r="D10">
        <v>893.85</v>
      </c>
      <c r="E10" s="217">
        <f t="shared" si="1"/>
        <v>3426.4250000000002</v>
      </c>
      <c r="F10" s="217">
        <f t="shared" si="2"/>
        <v>126.90450272500001</v>
      </c>
    </row>
    <row r="11" spans="1:6">
      <c r="A11" t="s">
        <v>197</v>
      </c>
      <c r="B11" s="217">
        <f t="shared" si="3"/>
        <v>0.95833333333333337</v>
      </c>
      <c r="C11">
        <v>2</v>
      </c>
      <c r="D11">
        <v>892.52</v>
      </c>
      <c r="E11" s="217">
        <f t="shared" si="1"/>
        <v>1710.6633333333334</v>
      </c>
      <c r="F11" s="217">
        <f t="shared" si="2"/>
        <v>63.357837876666672</v>
      </c>
    </row>
    <row r="12" spans="1:6">
      <c r="A12" t="s">
        <v>198</v>
      </c>
      <c r="B12" s="217">
        <f t="shared" si="3"/>
        <v>0.95833333333333337</v>
      </c>
      <c r="C12">
        <v>31</v>
      </c>
      <c r="D12">
        <v>857.5</v>
      </c>
      <c r="E12" s="217">
        <f t="shared" si="1"/>
        <v>25474.895833333336</v>
      </c>
      <c r="F12" s="217">
        <f t="shared" si="2"/>
        <v>943.51371697916682</v>
      </c>
    </row>
    <row r="13" spans="1:6">
      <c r="A13" t="s">
        <v>199</v>
      </c>
      <c r="B13" s="217">
        <f t="shared" si="3"/>
        <v>0.95833333333333337</v>
      </c>
      <c r="C13">
        <v>1</v>
      </c>
      <c r="D13">
        <v>718.11</v>
      </c>
      <c r="E13" s="217">
        <f t="shared" si="1"/>
        <v>688.18875000000003</v>
      </c>
      <c r="F13" s="217">
        <f t="shared" si="2"/>
        <v>25.488446733750003</v>
      </c>
    </row>
    <row r="14" spans="1:6">
      <c r="A14" t="s">
        <v>200</v>
      </c>
      <c r="B14" s="217">
        <f t="shared" si="3"/>
        <v>0.95833333333333337</v>
      </c>
      <c r="C14">
        <v>1</v>
      </c>
      <c r="D14">
        <v>681.82</v>
      </c>
      <c r="E14" s="217">
        <f t="shared" si="1"/>
        <v>653.41083333333336</v>
      </c>
      <c r="F14" s="217">
        <f t="shared" si="2"/>
        <v>24.200377034166667</v>
      </c>
    </row>
    <row r="15" spans="1:6">
      <c r="A15" t="s">
        <v>201</v>
      </c>
      <c r="B15" s="217">
        <f t="shared" si="3"/>
        <v>0.95833333333333337</v>
      </c>
      <c r="C15">
        <v>1</v>
      </c>
      <c r="D15">
        <v>1236.1400000000001</v>
      </c>
      <c r="E15" s="217">
        <f t="shared" si="1"/>
        <v>1184.6341666666667</v>
      </c>
      <c r="F15" s="217">
        <f t="shared" si="2"/>
        <v>43.875295630833335</v>
      </c>
    </row>
    <row r="17" spans="1:13">
      <c r="B17" t="s">
        <v>11</v>
      </c>
      <c r="C17" t="s">
        <v>202</v>
      </c>
      <c r="D17" t="s">
        <v>203</v>
      </c>
      <c r="E17" t="s">
        <v>204</v>
      </c>
      <c r="G17" t="s">
        <v>202</v>
      </c>
      <c r="H17" t="s">
        <v>203</v>
      </c>
      <c r="I17" t="s">
        <v>204</v>
      </c>
      <c r="K17" t="s">
        <v>202</v>
      </c>
      <c r="L17" t="s">
        <v>203</v>
      </c>
      <c r="M17" t="s">
        <v>204</v>
      </c>
    </row>
    <row r="18" spans="1:13">
      <c r="A18" t="s">
        <v>188</v>
      </c>
      <c r="B18">
        <v>8</v>
      </c>
      <c r="D18">
        <f>25*46</f>
        <v>1150</v>
      </c>
      <c r="E18">
        <f>24*53</f>
        <v>1272</v>
      </c>
      <c r="G18">
        <f>B18*C18</f>
        <v>0</v>
      </c>
      <c r="H18">
        <f>B18*D18</f>
        <v>9200</v>
      </c>
      <c r="I18">
        <f>B18*E18</f>
        <v>10176</v>
      </c>
      <c r="K18">
        <f>G18*0.376</f>
        <v>0</v>
      </c>
      <c r="L18">
        <f>H18*1.043</f>
        <v>9595.5999999999985</v>
      </c>
      <c r="M18">
        <f>I18*2.044</f>
        <v>20799.743999999999</v>
      </c>
    </row>
    <row r="19" spans="1:13">
      <c r="A19" t="s">
        <v>189</v>
      </c>
      <c r="B19">
        <v>8</v>
      </c>
      <c r="D19">
        <f>26*53</f>
        <v>1378</v>
      </c>
      <c r="G19">
        <f t="shared" ref="G19:G31" si="4">B19*C19</f>
        <v>0</v>
      </c>
      <c r="H19">
        <f t="shared" ref="H19:H31" si="5">B19*D19</f>
        <v>11024</v>
      </c>
      <c r="I19">
        <f t="shared" ref="I19:I31" si="6">B19*E19</f>
        <v>0</v>
      </c>
      <c r="K19">
        <f t="shared" ref="K19:K31" si="7">G19*0.376</f>
        <v>0</v>
      </c>
      <c r="L19">
        <f t="shared" ref="L19:L31" si="8">H19*1.043</f>
        <v>11498.031999999999</v>
      </c>
      <c r="M19">
        <f t="shared" ref="M19:M31" si="9">I19*2.044</f>
        <v>0</v>
      </c>
    </row>
    <row r="20" spans="1:13">
      <c r="A20" t="s">
        <v>190</v>
      </c>
      <c r="B20">
        <v>4</v>
      </c>
      <c r="C20">
        <f>64*2.5</f>
        <v>160</v>
      </c>
      <c r="D20">
        <f>8*53</f>
        <v>424</v>
      </c>
      <c r="E20">
        <f>4*53</f>
        <v>212</v>
      </c>
      <c r="G20">
        <f t="shared" si="4"/>
        <v>640</v>
      </c>
      <c r="H20">
        <f t="shared" si="5"/>
        <v>1696</v>
      </c>
      <c r="I20">
        <f t="shared" si="6"/>
        <v>848</v>
      </c>
      <c r="K20">
        <f t="shared" si="7"/>
        <v>240.64</v>
      </c>
      <c r="L20">
        <f t="shared" si="8"/>
        <v>1768.9279999999999</v>
      </c>
      <c r="M20">
        <f t="shared" si="9"/>
        <v>1733.3120000000001</v>
      </c>
    </row>
    <row r="21" spans="1:13">
      <c r="A21" t="s">
        <v>191</v>
      </c>
      <c r="B21">
        <v>11</v>
      </c>
      <c r="C21">
        <f>(57*4.17)+(57*5)+(57*4.17)</f>
        <v>760.38000000000011</v>
      </c>
      <c r="E21">
        <f>(6+6+7)*47</f>
        <v>893</v>
      </c>
      <c r="G21">
        <f t="shared" si="4"/>
        <v>8364.18</v>
      </c>
      <c r="H21">
        <f t="shared" si="5"/>
        <v>0</v>
      </c>
      <c r="I21">
        <f t="shared" si="6"/>
        <v>9823</v>
      </c>
      <c r="K21">
        <f t="shared" si="7"/>
        <v>3144.9316800000001</v>
      </c>
      <c r="L21">
        <f t="shared" si="8"/>
        <v>0</v>
      </c>
      <c r="M21">
        <f t="shared" si="9"/>
        <v>20078.212</v>
      </c>
    </row>
    <row r="22" spans="1:13">
      <c r="A22" t="s">
        <v>192</v>
      </c>
      <c r="B22">
        <v>3</v>
      </c>
      <c r="C22">
        <f>57*1.67</f>
        <v>95.19</v>
      </c>
      <c r="D22">
        <f>23*57</f>
        <v>1311</v>
      </c>
      <c r="E22">
        <f>3*47</f>
        <v>141</v>
      </c>
      <c r="G22">
        <f t="shared" si="4"/>
        <v>285.57</v>
      </c>
      <c r="H22">
        <f t="shared" si="5"/>
        <v>3933</v>
      </c>
      <c r="I22">
        <f t="shared" si="6"/>
        <v>423</v>
      </c>
      <c r="K22">
        <f t="shared" si="7"/>
        <v>107.37432</v>
      </c>
      <c r="L22">
        <f t="shared" si="8"/>
        <v>4102.1189999999997</v>
      </c>
      <c r="M22">
        <f t="shared" si="9"/>
        <v>864.61199999999997</v>
      </c>
    </row>
    <row r="23" spans="1:13">
      <c r="A23" t="s">
        <v>193</v>
      </c>
      <c r="B23">
        <v>116</v>
      </c>
      <c r="C23">
        <f>(1.67*57)+(5*57)+(1.67*57)</f>
        <v>475.38</v>
      </c>
      <c r="D23">
        <f>6*47</f>
        <v>282</v>
      </c>
      <c r="E23">
        <f>13*47</f>
        <v>611</v>
      </c>
      <c r="G23">
        <f t="shared" si="4"/>
        <v>55144.08</v>
      </c>
      <c r="H23">
        <f t="shared" si="5"/>
        <v>32712</v>
      </c>
      <c r="I23">
        <f t="shared" si="6"/>
        <v>70876</v>
      </c>
      <c r="K23">
        <f t="shared" si="7"/>
        <v>20734.174080000001</v>
      </c>
      <c r="L23">
        <f t="shared" si="8"/>
        <v>34118.615999999995</v>
      </c>
      <c r="M23">
        <f t="shared" si="9"/>
        <v>144870.54399999999</v>
      </c>
    </row>
    <row r="24" spans="1:13">
      <c r="A24" t="s">
        <v>194</v>
      </c>
      <c r="B24">
        <v>3</v>
      </c>
      <c r="C24">
        <f>(58*5.5)+(58*6.5)</f>
        <v>696</v>
      </c>
      <c r="D24">
        <f>11*53</f>
        <v>583</v>
      </c>
      <c r="E24">
        <f>15*53</f>
        <v>795</v>
      </c>
      <c r="G24">
        <f t="shared" si="4"/>
        <v>2088</v>
      </c>
      <c r="H24">
        <f t="shared" si="5"/>
        <v>1749</v>
      </c>
      <c r="I24">
        <f t="shared" si="6"/>
        <v>2385</v>
      </c>
      <c r="K24">
        <f t="shared" si="7"/>
        <v>785.08799999999997</v>
      </c>
      <c r="L24">
        <f t="shared" si="8"/>
        <v>1824.2069999999999</v>
      </c>
      <c r="M24">
        <f t="shared" si="9"/>
        <v>4874.9400000000005</v>
      </c>
    </row>
    <row r="25" spans="1:13">
      <c r="A25" t="s">
        <v>195</v>
      </c>
      <c r="B25">
        <v>3</v>
      </c>
      <c r="C25">
        <f>64*2.5</f>
        <v>160</v>
      </c>
      <c r="E25">
        <f>26*53</f>
        <v>1378</v>
      </c>
      <c r="G25">
        <f t="shared" si="4"/>
        <v>480</v>
      </c>
      <c r="H25">
        <f t="shared" si="5"/>
        <v>0</v>
      </c>
      <c r="I25">
        <f t="shared" si="6"/>
        <v>4134</v>
      </c>
      <c r="K25">
        <f t="shared" si="7"/>
        <v>180.48</v>
      </c>
      <c r="L25">
        <f t="shared" si="8"/>
        <v>0</v>
      </c>
      <c r="M25">
        <f t="shared" si="9"/>
        <v>8449.8960000000006</v>
      </c>
    </row>
    <row r="26" spans="1:13">
      <c r="A26" t="s">
        <v>196</v>
      </c>
      <c r="B26">
        <v>4</v>
      </c>
      <c r="E26">
        <f>20*53</f>
        <v>1060</v>
      </c>
      <c r="G26">
        <f t="shared" si="4"/>
        <v>0</v>
      </c>
      <c r="H26">
        <f t="shared" si="5"/>
        <v>0</v>
      </c>
      <c r="I26">
        <f t="shared" si="6"/>
        <v>4240</v>
      </c>
      <c r="K26">
        <f t="shared" si="7"/>
        <v>0</v>
      </c>
      <c r="L26">
        <f t="shared" si="8"/>
        <v>0</v>
      </c>
      <c r="M26">
        <f t="shared" si="9"/>
        <v>8666.56</v>
      </c>
    </row>
    <row r="27" spans="1:13">
      <c r="A27" t="s">
        <v>197</v>
      </c>
      <c r="B27">
        <v>2</v>
      </c>
      <c r="D27">
        <f>17*51</f>
        <v>867</v>
      </c>
      <c r="G27">
        <f t="shared" si="4"/>
        <v>0</v>
      </c>
      <c r="H27">
        <f t="shared" si="5"/>
        <v>1734</v>
      </c>
      <c r="I27">
        <f t="shared" si="6"/>
        <v>0</v>
      </c>
      <c r="K27">
        <f t="shared" si="7"/>
        <v>0</v>
      </c>
      <c r="L27">
        <f t="shared" si="8"/>
        <v>1808.5619999999999</v>
      </c>
      <c r="M27">
        <f t="shared" si="9"/>
        <v>0</v>
      </c>
    </row>
    <row r="28" spans="1:13">
      <c r="A28" t="s">
        <v>198</v>
      </c>
      <c r="B28">
        <v>31</v>
      </c>
      <c r="C28">
        <f>59*2.5</f>
        <v>147.5</v>
      </c>
      <c r="D28">
        <f>14*49</f>
        <v>686</v>
      </c>
      <c r="E28">
        <f>4*49</f>
        <v>196</v>
      </c>
      <c r="G28">
        <f t="shared" si="4"/>
        <v>4572.5</v>
      </c>
      <c r="H28">
        <f t="shared" si="5"/>
        <v>21266</v>
      </c>
      <c r="I28">
        <f t="shared" si="6"/>
        <v>6076</v>
      </c>
      <c r="K28">
        <f t="shared" si="7"/>
        <v>1719.26</v>
      </c>
      <c r="L28">
        <f t="shared" si="8"/>
        <v>22180.437999999998</v>
      </c>
      <c r="M28">
        <f t="shared" si="9"/>
        <v>12419.344000000001</v>
      </c>
    </row>
    <row r="29" spans="1:13">
      <c r="A29" t="s">
        <v>199</v>
      </c>
      <c r="B29">
        <v>1</v>
      </c>
      <c r="E29">
        <f>6*51</f>
        <v>306</v>
      </c>
      <c r="G29">
        <f t="shared" si="4"/>
        <v>0</v>
      </c>
      <c r="H29">
        <f t="shared" si="5"/>
        <v>0</v>
      </c>
      <c r="I29">
        <f t="shared" si="6"/>
        <v>306</v>
      </c>
      <c r="K29">
        <f t="shared" si="7"/>
        <v>0</v>
      </c>
      <c r="L29">
        <f t="shared" si="8"/>
        <v>0</v>
      </c>
      <c r="M29">
        <f t="shared" si="9"/>
        <v>625.46400000000006</v>
      </c>
    </row>
    <row r="30" spans="1:13">
      <c r="A30" t="s">
        <v>200</v>
      </c>
      <c r="B30">
        <v>1</v>
      </c>
      <c r="C30">
        <f>59*2.6</f>
        <v>153.4</v>
      </c>
      <c r="E30">
        <f>7*49</f>
        <v>343</v>
      </c>
      <c r="G30">
        <f t="shared" si="4"/>
        <v>153.4</v>
      </c>
      <c r="H30">
        <f t="shared" si="5"/>
        <v>0</v>
      </c>
      <c r="I30">
        <f t="shared" si="6"/>
        <v>343</v>
      </c>
      <c r="K30">
        <f t="shared" si="7"/>
        <v>57.678400000000003</v>
      </c>
      <c r="L30">
        <f t="shared" si="8"/>
        <v>0</v>
      </c>
      <c r="M30">
        <f t="shared" si="9"/>
        <v>701.09199999999998</v>
      </c>
    </row>
    <row r="31" spans="1:13">
      <c r="A31" t="s">
        <v>201</v>
      </c>
      <c r="B31">
        <v>1</v>
      </c>
      <c r="C31">
        <f>64*2.5</f>
        <v>160</v>
      </c>
      <c r="D31">
        <f>24*53</f>
        <v>1272</v>
      </c>
      <c r="E31">
        <f>4*53</f>
        <v>212</v>
      </c>
      <c r="G31">
        <f t="shared" si="4"/>
        <v>160</v>
      </c>
      <c r="H31">
        <f t="shared" si="5"/>
        <v>1272</v>
      </c>
      <c r="I31">
        <f t="shared" si="6"/>
        <v>212</v>
      </c>
      <c r="K31">
        <f t="shared" si="7"/>
        <v>60.16</v>
      </c>
      <c r="L31">
        <f t="shared" si="8"/>
        <v>1326.6959999999999</v>
      </c>
      <c r="M31">
        <f t="shared" si="9"/>
        <v>433.32800000000003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13" sqref="G13"/>
    </sheetView>
  </sheetViews>
  <sheetFormatPr defaultRowHeight="14.5"/>
  <cols>
    <col min="1" max="1" width="13.26953125" bestFit="1" customWidth="1"/>
    <col min="6" max="6" width="10.6328125" bestFit="1" customWidth="1"/>
    <col min="7" max="7" width="17.90625" bestFit="1" customWidth="1"/>
    <col min="9" max="9" width="12.26953125" bestFit="1" customWidth="1"/>
  </cols>
  <sheetData>
    <row r="1" spans="1:9">
      <c r="A1" t="s">
        <v>46</v>
      </c>
      <c r="F1" t="s">
        <v>47</v>
      </c>
      <c r="I1" t="s">
        <v>58</v>
      </c>
    </row>
    <row r="2" spans="1:9">
      <c r="A2" t="s">
        <v>34</v>
      </c>
      <c r="B2" t="s">
        <v>35</v>
      </c>
      <c r="F2" t="s">
        <v>48</v>
      </c>
      <c r="G2" t="s">
        <v>49</v>
      </c>
      <c r="I2" t="s">
        <v>59</v>
      </c>
    </row>
    <row r="3" spans="1:9">
      <c r="A3" t="s">
        <v>41</v>
      </c>
      <c r="B3">
        <v>16</v>
      </c>
      <c r="G3" t="s">
        <v>50</v>
      </c>
      <c r="I3" t="s">
        <v>60</v>
      </c>
    </row>
    <row r="4" spans="1:9">
      <c r="A4" t="s">
        <v>42</v>
      </c>
      <c r="B4">
        <v>18</v>
      </c>
      <c r="G4" t="s">
        <v>51</v>
      </c>
      <c r="I4" t="s">
        <v>61</v>
      </c>
    </row>
    <row r="5" spans="1:9">
      <c r="A5" t="s">
        <v>36</v>
      </c>
      <c r="B5">
        <v>20</v>
      </c>
      <c r="G5" t="s">
        <v>52</v>
      </c>
      <c r="I5" t="s">
        <v>62</v>
      </c>
    </row>
    <row r="6" spans="1:9">
      <c r="A6" t="s">
        <v>37</v>
      </c>
      <c r="B6">
        <v>25</v>
      </c>
      <c r="G6" t="s">
        <v>53</v>
      </c>
      <c r="I6" t="s">
        <v>63</v>
      </c>
    </row>
    <row r="7" spans="1:9">
      <c r="A7" t="s">
        <v>38</v>
      </c>
      <c r="G7" t="s">
        <v>54</v>
      </c>
      <c r="I7" t="s">
        <v>64</v>
      </c>
    </row>
    <row r="8" spans="1:9">
      <c r="A8" t="s">
        <v>39</v>
      </c>
      <c r="G8" t="s">
        <v>55</v>
      </c>
      <c r="I8" t="s">
        <v>65</v>
      </c>
    </row>
    <row r="9" spans="1:9">
      <c r="A9" t="s">
        <v>40</v>
      </c>
      <c r="G9" t="s">
        <v>56</v>
      </c>
      <c r="I9" t="s">
        <v>66</v>
      </c>
    </row>
    <row r="10" spans="1:9">
      <c r="A10" t="s">
        <v>43</v>
      </c>
      <c r="G10" t="s">
        <v>32</v>
      </c>
      <c r="I10" t="s">
        <v>67</v>
      </c>
    </row>
    <row r="11" spans="1:9">
      <c r="A11" t="s">
        <v>44</v>
      </c>
      <c r="G11" t="s">
        <v>57</v>
      </c>
      <c r="I11" t="s">
        <v>68</v>
      </c>
    </row>
    <row r="12" spans="1:9">
      <c r="A12" t="s">
        <v>45</v>
      </c>
      <c r="G12" t="s">
        <v>33</v>
      </c>
      <c r="I12" t="s">
        <v>69</v>
      </c>
    </row>
    <row r="13" spans="1:9">
      <c r="I13" t="s">
        <v>70</v>
      </c>
    </row>
    <row r="14" spans="1:9">
      <c r="I14" t="s">
        <v>71</v>
      </c>
    </row>
    <row r="15" spans="1:9">
      <c r="I15" t="s">
        <v>72</v>
      </c>
    </row>
    <row r="16" spans="1:9">
      <c r="I16" t="s">
        <v>73</v>
      </c>
    </row>
    <row r="17" spans="9:9">
      <c r="I17" t="s">
        <v>74</v>
      </c>
    </row>
    <row r="18" spans="9:9">
      <c r="I18" t="s">
        <v>75</v>
      </c>
    </row>
    <row r="19" spans="9:9">
      <c r="I19" t="s">
        <v>76</v>
      </c>
    </row>
    <row r="20" spans="9:9">
      <c r="I20" t="s">
        <v>77</v>
      </c>
    </row>
    <row r="21" spans="9:9">
      <c r="I21" t="s">
        <v>78</v>
      </c>
    </row>
    <row r="22" spans="9:9">
      <c r="I22" t="s">
        <v>79</v>
      </c>
    </row>
    <row r="23" spans="9:9">
      <c r="I23" t="s">
        <v>80</v>
      </c>
    </row>
    <row r="24" spans="9:9">
      <c r="I24" t="s">
        <v>81</v>
      </c>
    </row>
    <row r="25" spans="9:9">
      <c r="I2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ROOFING</vt:lpstr>
      <vt:lpstr>PAINTING</vt:lpstr>
      <vt:lpstr>CONCRETE</vt:lpstr>
      <vt:lpstr>TILT PANELS</vt:lpstr>
      <vt:lpstr>TILT 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Administrator</cp:lastModifiedBy>
  <dcterms:created xsi:type="dcterms:W3CDTF">2024-07-29T07:57:09Z</dcterms:created>
  <dcterms:modified xsi:type="dcterms:W3CDTF">2025-06-24T22:03:06Z</dcterms:modified>
</cp:coreProperties>
</file>